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955" windowHeight="9465" tabRatio="698" activeTab="0"/>
  </bookViews>
  <sheets>
    <sheet name="Objectives" sheetId="1" r:id="rId1"/>
    <sheet name="Assess" sheetId="2" r:id="rId2"/>
    <sheet name="Verify" sheetId="3" r:id="rId3"/>
    <sheet name="Cashflow" sheetId="4" r:id="rId4"/>
    <sheet name="1.Year" sheetId="5" r:id="rId5"/>
    <sheet name="3 Years" sheetId="6" r:id="rId6"/>
    <sheet name="Balance" sheetId="7" r:id="rId7"/>
  </sheets>
  <definedNames>
    <definedName name="_xlnm.Print_Area" localSheetId="1">'Assess'!$A$1:$F$66</definedName>
    <definedName name="_xlnm.Print_Area" localSheetId="3">'Cashflow'!$A$2:$S$41</definedName>
    <definedName name="_xlnm.Print_Area" localSheetId="0">'Objectives'!$A$1:$K$58</definedName>
    <definedName name="_xlnm.Print_Area" localSheetId="2">'Verify'!$A$1:$G$37</definedName>
    <definedName name="_xlnm.Print_Titles" localSheetId="3">'Cashflow'!$2:$3</definedName>
  </definedNames>
  <calcPr fullCalcOnLoad="1"/>
</workbook>
</file>

<file path=xl/comments7.xml><?xml version="1.0" encoding="utf-8"?>
<comments xmlns="http://schemas.openxmlformats.org/spreadsheetml/2006/main">
  <authors>
    <author>Heinz</author>
  </authors>
  <commentList>
    <comment ref="J5" authorId="0">
      <text>
        <r>
          <rPr>
            <b/>
            <sz val="8"/>
            <rFont val="Tahoma"/>
            <family val="0"/>
          </rPr>
          <t>Heinz:</t>
        </r>
        <r>
          <rPr>
            <sz val="8"/>
            <rFont val="Tahoma"/>
            <family val="0"/>
          </rPr>
          <t xml:space="preserve">
Investments minus depreciation</t>
        </r>
      </text>
    </comment>
    <comment ref="M6" authorId="0">
      <text>
        <r>
          <rPr>
            <b/>
            <sz val="8"/>
            <rFont val="Tahoma"/>
            <family val="0"/>
          </rPr>
          <t>Heinz:</t>
        </r>
        <r>
          <rPr>
            <sz val="8"/>
            <rFont val="Tahoma"/>
            <family val="0"/>
          </rPr>
          <t xml:space="preserve">
Capital Input minus redemption</t>
        </r>
      </text>
    </comment>
  </commentList>
</comments>
</file>

<file path=xl/sharedStrings.xml><?xml version="1.0" encoding="utf-8"?>
<sst xmlns="http://schemas.openxmlformats.org/spreadsheetml/2006/main" count="304" uniqueCount="201">
  <si>
    <t>INSABA Preassessment of Project Proposals</t>
  </si>
  <si>
    <t>Country:</t>
  </si>
  <si>
    <t>RE Technology:</t>
  </si>
  <si>
    <t>Business Idea:</t>
  </si>
  <si>
    <t>Years of experience as owner of business</t>
  </si>
  <si>
    <t>Number of employees w/contract</t>
  </si>
  <si>
    <t>(yes=5, No=0)</t>
  </si>
  <si>
    <t xml:space="preserve">Experience with formal loan </t>
  </si>
  <si>
    <t>(received=5, applied=3, no=0)</t>
  </si>
  <si>
    <t xml:space="preserve">Experience in cost calculations, business plans  </t>
  </si>
  <si>
    <t>(no=0, several=5)</t>
  </si>
  <si>
    <t>Practice in maintaining/operating equipment  (RET)     (none yet=0, regularly=5)</t>
  </si>
  <si>
    <t>Total</t>
  </si>
  <si>
    <t>Calculation of ROI</t>
  </si>
  <si>
    <t>Determination of parameters</t>
  </si>
  <si>
    <t>Definitions</t>
  </si>
  <si>
    <t xml:space="preserve">Investment Capital </t>
  </si>
  <si>
    <t>Total cost of technology investment</t>
  </si>
  <si>
    <t>Investment Lifespan</t>
  </si>
  <si>
    <t>Life of the technology - i.e. period before it must be replaced</t>
  </si>
  <si>
    <t>Production</t>
  </si>
  <si>
    <t xml:space="preserve">Units produced per year </t>
  </si>
  <si>
    <t>Price/unit</t>
  </si>
  <si>
    <t>Sales price per unit produced and sold</t>
  </si>
  <si>
    <t>Revenue</t>
  </si>
  <si>
    <t>Sales price multiplied by number of units sold</t>
  </si>
  <si>
    <t>Variable cost/unit</t>
  </si>
  <si>
    <t>Cost per unit produced e.g. material, processing packaging</t>
  </si>
  <si>
    <t>Cost of energy/unit</t>
  </si>
  <si>
    <t>costs of power, fuel  added to variable cost</t>
  </si>
  <si>
    <t>Total fixed costs</t>
  </si>
  <si>
    <t>Annual indirect costs such as rent, telephones, salaries</t>
  </si>
  <si>
    <t>Amortization/unit:</t>
  </si>
  <si>
    <t>Amount needed per unit to cover investment in lifetime</t>
  </si>
  <si>
    <t>Direct costs per unit:</t>
  </si>
  <si>
    <t>Variable costs plus amortization plus cost of energy</t>
  </si>
  <si>
    <t>Gross Margin/unit</t>
  </si>
  <si>
    <t>Sales price per unit less the direct costs per unit</t>
  </si>
  <si>
    <t>Fixed costs/unit</t>
  </si>
  <si>
    <t>Total fixed costs divided by the number of units produced</t>
  </si>
  <si>
    <t>Total costs</t>
  </si>
  <si>
    <t>Net Margin</t>
  </si>
  <si>
    <t>Revenue less total costs</t>
  </si>
  <si>
    <t>ROI</t>
  </si>
  <si>
    <t>Return on Investment = net margin divided by capital investment</t>
  </si>
  <si>
    <t>Sensivity Analysis</t>
  </si>
  <si>
    <t>Capital Investment</t>
  </si>
  <si>
    <t>Units/annum</t>
  </si>
  <si>
    <t>Variable cost of sale/unit</t>
  </si>
  <si>
    <t>total fixed costs</t>
  </si>
  <si>
    <t>capital investment divided by cash flow until intial expenses are compensated by the net margin</t>
  </si>
  <si>
    <t>Direct costs plus fixed costs</t>
  </si>
  <si>
    <r>
      <t xml:space="preserve">Proponent </t>
    </r>
    <r>
      <rPr>
        <sz val="12"/>
        <color indexed="18"/>
        <rFont val="Arial"/>
        <family val="2"/>
      </rPr>
      <t>name, contact</t>
    </r>
  </si>
  <si>
    <r>
      <t>Payback period</t>
    </r>
    <r>
      <rPr>
        <sz val="11"/>
        <rFont val="Arial"/>
        <family val="2"/>
      </rPr>
      <t xml:space="preserve"> years</t>
    </r>
  </si>
  <si>
    <t>This tool is designed to help in the basic assessment of a project idea</t>
  </si>
  <si>
    <t>It is very simple as it does not consider interest, depreciation yet</t>
  </si>
  <si>
    <t>Fill in the white fields, the rest will be computed</t>
  </si>
  <si>
    <t xml:space="preserve">The figures in this examples are assumption based on interviews. </t>
  </si>
  <si>
    <t>They need to verified during the market assessment Tool 2</t>
  </si>
  <si>
    <t>In this tool, we determine  the profile of the proponent entrepreneur</t>
  </si>
  <si>
    <t>and the characteristics of the proposed business</t>
  </si>
  <si>
    <t>The influence of these data on the ROI can be seen in the sensitivity analysis</t>
  </si>
  <si>
    <t>Optimization can be done e.g. With the goal-function like "what capital can I afford to still make 30% ROI?"</t>
  </si>
  <si>
    <t>Apple Drier</t>
  </si>
  <si>
    <t>Estimated, then computed for ROI0,3</t>
  </si>
  <si>
    <t>Estimated for solar dryer</t>
  </si>
  <si>
    <t>Daily 2 kg dried apple-chips sold 5 days per week 52 weeks/year= 520 kg p/a</t>
  </si>
  <si>
    <t>The current market price</t>
  </si>
  <si>
    <t>Costs for fresh apples: 10 * 0,55 €/kg = 5,5 €/kg (sales price of 0,55 €/kg is relevant as this is the opportunity cost of the farmer);Costs for packaging: 0,5 €/kg;Costs for preparation: 10 kg fresh apples can be prepared in 15 minutes and hourly wage is 8 €: 2 €/kg</t>
  </si>
  <si>
    <t>no other energy</t>
  </si>
  <si>
    <t>Cost for display, handling</t>
  </si>
  <si>
    <t>RSA</t>
  </si>
  <si>
    <t>Western Cape</t>
  </si>
  <si>
    <t>Solar Drier</t>
  </si>
  <si>
    <t>produce apple chips at higher value</t>
  </si>
  <si>
    <t>Rob de Clerk, Somerset</t>
  </si>
  <si>
    <t>Alternative</t>
  </si>
  <si>
    <t xml:space="preserve">drying of 10 kg lasts 10 h, stove needs 1 kW, price of power is 0,22 €/kWh, therefore costs for power are 2,2 €/kg </t>
  </si>
  <si>
    <t>Cash Flow Analysis</t>
  </si>
  <si>
    <t>Month-1</t>
  </si>
  <si>
    <t>Month-2</t>
  </si>
  <si>
    <t>Month-3</t>
  </si>
  <si>
    <t>Month-4</t>
  </si>
  <si>
    <t>Month-5</t>
  </si>
  <si>
    <t>Month-6</t>
  </si>
  <si>
    <t>Month-7</t>
  </si>
  <si>
    <t>Month-8</t>
  </si>
  <si>
    <t>Month-9</t>
  </si>
  <si>
    <t>Month-10</t>
  </si>
  <si>
    <t>Month-11</t>
  </si>
  <si>
    <t>Month-12</t>
  </si>
  <si>
    <t>Year 1</t>
  </si>
  <si>
    <t>Year 2</t>
  </si>
  <si>
    <t>Year 3</t>
  </si>
  <si>
    <t>Products</t>
  </si>
  <si>
    <t>Sales</t>
  </si>
  <si>
    <t>Cash Inflow</t>
  </si>
  <si>
    <t>Turnover</t>
  </si>
  <si>
    <t>Price</t>
  </si>
  <si>
    <t>TOTAL Turnover</t>
  </si>
  <si>
    <t>TOTAL Cash Inflow</t>
  </si>
  <si>
    <t>Cash Outflow</t>
  </si>
  <si>
    <t>Material</t>
  </si>
  <si>
    <t>Cost</t>
  </si>
  <si>
    <t>TOTAL Material</t>
  </si>
  <si>
    <t>Overhead Cost</t>
  </si>
  <si>
    <t>Staff B</t>
  </si>
  <si>
    <t>Communication</t>
  </si>
  <si>
    <t>Vehicle</t>
  </si>
  <si>
    <t>Marketing</t>
  </si>
  <si>
    <t>Investment</t>
  </si>
  <si>
    <t>TOTAL Overhead</t>
  </si>
  <si>
    <t>Capital cost</t>
  </si>
  <si>
    <t>interest, redemption</t>
  </si>
  <si>
    <t xml:space="preserve">TOTAL capital </t>
  </si>
  <si>
    <t>TOTAL Cash Ouflow</t>
  </si>
  <si>
    <t>Operating Result</t>
  </si>
  <si>
    <t xml:space="preserve"> /accumulated</t>
  </si>
  <si>
    <t>Capital input</t>
  </si>
  <si>
    <t>Cash Flow</t>
  </si>
  <si>
    <t>Investments in the 2nd year</t>
  </si>
  <si>
    <t>Investments in the 3rd year</t>
  </si>
  <si>
    <t>Amount</t>
  </si>
  <si>
    <t>Investment Lifespan (≥3)</t>
  </si>
  <si>
    <t>Month (between 1-12)</t>
  </si>
  <si>
    <t>depreciation</t>
  </si>
  <si>
    <t>Tool 3a</t>
  </si>
  <si>
    <t>TOTAL Cash Inflow, acc</t>
  </si>
  <si>
    <t>TOTAL Cash Outflow, acc</t>
  </si>
  <si>
    <t>Operating Result, acc</t>
  </si>
  <si>
    <t>Tool 3b</t>
  </si>
  <si>
    <t>TOTAL Cash Outflow</t>
  </si>
  <si>
    <t>Profitability Preview</t>
  </si>
  <si>
    <t>Balance</t>
  </si>
  <si>
    <t>Assets</t>
  </si>
  <si>
    <t>Liabilities</t>
  </si>
  <si>
    <t>Cost of Sales</t>
  </si>
  <si>
    <t>fixed assets</t>
  </si>
  <si>
    <t>shareholders equity</t>
  </si>
  <si>
    <t>Gross profit</t>
  </si>
  <si>
    <t>current assets</t>
  </si>
  <si>
    <t>liabilities</t>
  </si>
  <si>
    <t>other operating income</t>
  </si>
  <si>
    <t>Σ</t>
  </si>
  <si>
    <t>personnel costs</t>
  </si>
  <si>
    <t>hire charges</t>
  </si>
  <si>
    <t>communication</t>
  </si>
  <si>
    <t>vehicle</t>
  </si>
  <si>
    <t>marketing</t>
  </si>
  <si>
    <t>office</t>
  </si>
  <si>
    <t>interest</t>
  </si>
  <si>
    <t>TOTAL Expenses</t>
  </si>
  <si>
    <t>annual surplus/deficit</t>
  </si>
  <si>
    <t>/accumulated</t>
  </si>
  <si>
    <r>
      <t>Investment Lifespan (</t>
    </r>
    <r>
      <rPr>
        <sz val="12"/>
        <rFont val="Arial"/>
        <family val="0"/>
      </rPr>
      <t>≥</t>
    </r>
    <r>
      <rPr>
        <sz val="12"/>
        <rFont val="Arial"/>
        <family val="2"/>
      </rPr>
      <t>3)</t>
    </r>
  </si>
  <si>
    <t>Euro</t>
  </si>
  <si>
    <t>Description of Alternative</t>
  </si>
  <si>
    <t xml:space="preserve">Proponent uses bank account  </t>
  </si>
  <si>
    <t>Dry apples in electric stove</t>
  </si>
  <si>
    <t>stove lifetime</t>
  </si>
  <si>
    <t>20 kg fresh apples per day can also go in stove</t>
  </si>
  <si>
    <t>see tool 1</t>
  </si>
  <si>
    <t>Although the ROI for solar drier is good, the competition with electric stove can produce cheaper.  If we are satisfied with the same margin, the solar drier may not cost above 6.215 Euro, if we want to achieve the same ROI, the goal-seek function tells us the drier may not cost above € 649. Production considerations are: The solar drier may be able to produce more than the stove, but it may fall back during bad weather.</t>
  </si>
  <si>
    <t>Calculation of Competitiveness</t>
  </si>
  <si>
    <t>Competitor</t>
  </si>
  <si>
    <t>Competing Technology</t>
  </si>
  <si>
    <t>Appropriateness of RET</t>
  </si>
  <si>
    <t>Market Segment</t>
  </si>
  <si>
    <t>Main Differentiator</t>
  </si>
  <si>
    <t>Sustainable Production</t>
  </si>
  <si>
    <t>Market Size &amp; Potential</t>
  </si>
  <si>
    <r>
      <t>Market Context</t>
    </r>
    <r>
      <rPr>
        <sz val="14"/>
        <color indexed="18"/>
        <rFont val="Arial"/>
        <family val="2"/>
      </rPr>
      <t xml:space="preserve"> : describe</t>
    </r>
  </si>
  <si>
    <t>Market Need, Risk</t>
  </si>
  <si>
    <t>incresed production might require chemical/radiative stabilization</t>
  </si>
  <si>
    <t>naturally dried fruit are icreasingly popular, domestic demand justifies the invetment, international market survey might justify futher expansion</t>
  </si>
  <si>
    <t>INSABA Verification &amp; Market-Assessment of Project Proposals</t>
  </si>
  <si>
    <t>Electricity (subsidized)</t>
  </si>
  <si>
    <t>market does not need dried fruit and may reject if contamination happens. For producer important for surplus harvest, which else will rot or go to juice. Risk is cheap import from Eastern countries, extended bad weather</t>
  </si>
  <si>
    <t>natural production and natural processing go together. "Sun-dried" gives better aroma, sells higher</t>
  </si>
  <si>
    <t>competition goes for bakery market, drier targets small package consumer market</t>
  </si>
  <si>
    <t>solar dries faster than open air, less risk, environmentally superior to electric</t>
  </si>
  <si>
    <t>DuPlessis with sun-drier is much cheaper, with electric stove still can produce cheaper</t>
  </si>
  <si>
    <r>
      <t xml:space="preserve">This tool is designed to </t>
    </r>
    <r>
      <rPr>
        <b/>
        <sz val="10"/>
        <rFont val="Arial"/>
        <family val="2"/>
      </rPr>
      <t xml:space="preserve">verify the assumptions </t>
    </r>
    <r>
      <rPr>
        <sz val="10"/>
        <rFont val="Arial"/>
        <family val="2"/>
      </rPr>
      <t>of the basic assessment of a project idea</t>
    </r>
  </si>
  <si>
    <t>The economic comparison considers cost of energy, in case of e.g. Electric supply</t>
  </si>
  <si>
    <t>In this field, we determine the market context of the business idea</t>
  </si>
  <si>
    <t>State whether the market allows a scaleable, replicable use. Solar solutions often are modular!</t>
  </si>
  <si>
    <t>who really needs the product and which assumptions, barriers, risks must be observed</t>
  </si>
  <si>
    <t>Describe direct, indirect competition</t>
  </si>
  <si>
    <t>What is current technology, which technology might take over when size becomes larger</t>
  </si>
  <si>
    <t>Why would RET be preferred, by whom</t>
  </si>
  <si>
    <t>Where is the strategic focus of competition, vs. Ours</t>
  </si>
  <si>
    <t>Are there environmetal influences in enhanced production stages</t>
  </si>
  <si>
    <t>Product 3</t>
  </si>
  <si>
    <t>Applechips</t>
  </si>
  <si>
    <t>kg</t>
  </si>
  <si>
    <t>Bananachips</t>
  </si>
  <si>
    <t>Office share</t>
  </si>
  <si>
    <t>Staff A share</t>
  </si>
  <si>
    <t>other expenses</t>
  </si>
  <si>
    <t>What is the striking difference in strategy</t>
  </si>
  <si>
    <t>Region:</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</si>
</sst>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0000"/>
    <numFmt numFmtId="181" formatCode="0.0000"/>
    <numFmt numFmtId="182" formatCode="0.000"/>
    <numFmt numFmtId="183" formatCode="0.0"/>
    <numFmt numFmtId="184" formatCode="0.0000000"/>
    <numFmt numFmtId="185" formatCode="0.000000"/>
    <numFmt numFmtId="186" formatCode="0.0%"/>
    <numFmt numFmtId="187" formatCode="#,##0\ &quot;DM&quot;;\-#,##0\ &quot;DM&quot;"/>
    <numFmt numFmtId="188" formatCode="#,##0\ &quot;DM&quot;;[Red]\-#,##0\ &quot;DM&quot;"/>
    <numFmt numFmtId="189" formatCode="#,##0.00\ &quot;DM&quot;;\-#,##0.00\ &quot;DM&quot;"/>
    <numFmt numFmtId="190" formatCode="#,##0.00\ &quot;DM&quot;;[Red]\-#,##0.00\ &quot;DM&quot;"/>
    <numFmt numFmtId="191" formatCode="_-* #,##0\ &quot;DM&quot;_-;\-* #,##0\ &quot;DM&quot;_-;_-* &quot;-&quot;\ &quot;DM&quot;_-;_-@_-"/>
    <numFmt numFmtId="192" formatCode="_-* #,##0\ _D_M_-;\-* #,##0\ _D_M_-;_-* &quot;-&quot;\ _D_M_-;_-@_-"/>
    <numFmt numFmtId="193" formatCode="_-* #,##0.00\ &quot;DM&quot;_-;\-* #,##0.00\ &quot;DM&quot;_-;_-* &quot;-&quot;??\ &quot;DM&quot;_-;_-@_-"/>
    <numFmt numFmtId="194" formatCode="_-* #,##0.00\ _D_M_-;\-* #,##0.00\ _D_M_-;_-* &quot;-&quot;??\ _D_M_-;_-@_-"/>
    <numFmt numFmtId="195" formatCode="#,##0.00_ ;[Red]\-#,##0.00\ "/>
    <numFmt numFmtId="196" formatCode="#,##0_ ;[Red]\-#,##0\ "/>
    <numFmt numFmtId="197" formatCode="#,##0\ &quot;DM&quot;"/>
    <numFmt numFmtId="198" formatCode="#,##0.0"/>
    <numFmt numFmtId="199" formatCode="#,##0.00\ _€"/>
    <numFmt numFmtId="200" formatCode="#,##0.0_ ;[Red]\-#,##0.0\ "/>
    <numFmt numFmtId="201" formatCode="&quot;Yes&quot;;&quot;Yes&quot;;&quot;No&quot;"/>
    <numFmt numFmtId="202" formatCode="&quot;True&quot;;&quot;True&quot;;&quot;False&quot;"/>
    <numFmt numFmtId="203" formatCode="&quot;On&quot;;&quot;On&quot;;&quot;Off&quot;"/>
    <numFmt numFmtId="204" formatCode="[$€-2]\ #,##0.00_);[Red]\([$€-2]\ #,##0.00\)"/>
  </numFmts>
  <fonts count="54">
    <font>
      <sz val="10"/>
      <name val="Arial"/>
      <family val="0"/>
    </font>
    <font>
      <u val="single"/>
      <sz val="7.5"/>
      <color indexed="36"/>
      <name val="Arial"/>
      <family val="0"/>
    </font>
    <font>
      <u val="single"/>
      <sz val="7.5"/>
      <color indexed="12"/>
      <name val="Arial"/>
      <family val="0"/>
    </font>
    <font>
      <sz val="14"/>
      <name val="Arial"/>
      <family val="2"/>
    </font>
    <font>
      <b/>
      <sz val="16"/>
      <color indexed="41"/>
      <name val="Arial"/>
      <family val="2"/>
    </font>
    <font>
      <sz val="10"/>
      <color indexed="41"/>
      <name val="Arial"/>
      <family val="2"/>
    </font>
    <font>
      <sz val="11"/>
      <name val="Arial"/>
      <family val="0"/>
    </font>
    <font>
      <sz val="11"/>
      <color indexed="41"/>
      <name val="Arial"/>
      <family val="0"/>
    </font>
    <font>
      <b/>
      <sz val="14"/>
      <color indexed="18"/>
      <name val="Arial"/>
      <family val="2"/>
    </font>
    <font>
      <sz val="12"/>
      <color indexed="18"/>
      <name val="Arial"/>
      <family val="2"/>
    </font>
    <font>
      <sz val="10"/>
      <color indexed="18"/>
      <name val="Arial"/>
      <family val="2"/>
    </font>
    <font>
      <b/>
      <sz val="11"/>
      <name val="Arial"/>
      <family val="0"/>
    </font>
    <font>
      <b/>
      <sz val="10"/>
      <name val="Arial"/>
      <family val="2"/>
    </font>
    <font>
      <sz val="12"/>
      <name val="Arial"/>
      <family val="0"/>
    </font>
    <font>
      <b/>
      <sz val="12"/>
      <name val="Arial"/>
      <family val="2"/>
    </font>
    <font>
      <sz val="8"/>
      <name val="Arial"/>
      <family val="0"/>
    </font>
    <font>
      <b/>
      <sz val="14"/>
      <name val="Arial"/>
      <family val="2"/>
    </font>
    <font>
      <b/>
      <sz val="2.75"/>
      <name val="Arial"/>
      <family val="0"/>
    </font>
    <font>
      <b/>
      <sz val="2"/>
      <name val="Arial"/>
      <family val="2"/>
    </font>
    <font>
      <b/>
      <sz val="2.25"/>
      <name val="Arial"/>
      <family val="2"/>
    </font>
    <font>
      <sz val="2.75"/>
      <name val="Arial"/>
      <family val="0"/>
    </font>
    <font>
      <sz val="2.25"/>
      <name val="Arial"/>
      <family val="0"/>
    </font>
    <font>
      <sz val="1.75"/>
      <name val="Arial"/>
      <family val="2"/>
    </font>
    <font>
      <b/>
      <sz val="15.75"/>
      <name val="Arial"/>
      <family val="2"/>
    </font>
    <font>
      <b/>
      <sz val="12.75"/>
      <name val="Arial"/>
      <family val="2"/>
    </font>
    <font>
      <sz val="11.5"/>
      <name val="Arial"/>
      <family val="0"/>
    </font>
    <font>
      <b/>
      <sz val="10"/>
      <color indexed="53"/>
      <name val="Arial"/>
      <family val="0"/>
    </font>
    <font>
      <b/>
      <sz val="16"/>
      <name val="Arial"/>
      <family val="2"/>
    </font>
    <font>
      <b/>
      <i/>
      <sz val="12"/>
      <name val="Arial"/>
      <family val="2"/>
    </font>
    <font>
      <b/>
      <i/>
      <sz val="12"/>
      <color indexed="17"/>
      <name val="Arial"/>
      <family val="2"/>
    </font>
    <font>
      <b/>
      <u val="single"/>
      <sz val="14"/>
      <name val="Arial"/>
      <family val="2"/>
    </font>
    <font>
      <b/>
      <u val="single"/>
      <sz val="10"/>
      <name val="Arial"/>
      <family val="2"/>
    </font>
    <font>
      <b/>
      <sz val="12"/>
      <color indexed="56"/>
      <name val="Arial"/>
      <family val="2"/>
    </font>
    <font>
      <b/>
      <sz val="18"/>
      <name val="Arial"/>
      <family val="2"/>
    </font>
    <font>
      <b/>
      <sz val="8"/>
      <name val="Tahoma"/>
      <family val="0"/>
    </font>
    <font>
      <sz val="8"/>
      <name val="Tahoma"/>
      <family val="0"/>
    </font>
    <font>
      <sz val="14"/>
      <color indexed="18"/>
      <name val="Times New Roman"/>
      <family val="1"/>
    </font>
    <font>
      <sz val="2"/>
      <name val="Arial"/>
      <family val="0"/>
    </font>
    <font>
      <sz val="14"/>
      <color indexed="18"/>
      <name val="Arial"/>
      <family val="2"/>
    </font>
    <font>
      <sz val="16"/>
      <name val="Arial"/>
      <family val="2"/>
    </font>
    <font>
      <sz val="9"/>
      <color indexed="54"/>
      <name val="Times New Roman"/>
      <family val="1"/>
    </font>
    <font>
      <sz val="12"/>
      <color indexed="20"/>
      <name val="Arial"/>
      <family val="2"/>
    </font>
    <font>
      <sz val="10"/>
      <color indexed="20"/>
      <name val="Arial"/>
      <family val="2"/>
    </font>
    <font>
      <b/>
      <sz val="12"/>
      <color indexed="20"/>
      <name val="Arial"/>
      <family val="2"/>
    </font>
    <font>
      <sz val="14"/>
      <color indexed="21"/>
      <name val="Times New Roman"/>
      <family val="1"/>
    </font>
    <font>
      <sz val="14"/>
      <color indexed="60"/>
      <name val="Times New Roman"/>
      <family val="1"/>
    </font>
    <font>
      <sz val="14"/>
      <color indexed="20"/>
      <name val="Times New Roman"/>
      <family val="1"/>
    </font>
    <font>
      <sz val="14"/>
      <color indexed="23"/>
      <name val="Times New Roman"/>
      <family val="1"/>
    </font>
    <font>
      <sz val="14"/>
      <color indexed="19"/>
      <name val="Times New Roman"/>
      <family val="1"/>
    </font>
    <font>
      <b/>
      <sz val="12"/>
      <color indexed="15"/>
      <name val="Arial"/>
      <family val="2"/>
    </font>
    <font>
      <sz val="10"/>
      <color indexed="15"/>
      <name val="Arial"/>
      <family val="2"/>
    </font>
    <font>
      <b/>
      <sz val="10"/>
      <color indexed="20"/>
      <name val="Arial"/>
      <family val="2"/>
    </font>
    <font>
      <b/>
      <sz val="16"/>
      <color indexed="9"/>
      <name val="Arial"/>
      <family val="2"/>
    </font>
    <font>
      <b/>
      <sz val="8"/>
      <name val="Arial"/>
      <family val="2"/>
    </font>
  </fonts>
  <fills count="10">
    <fill>
      <patternFill/>
    </fill>
    <fill>
      <patternFill patternType="gray125"/>
    </fill>
    <fill>
      <patternFill patternType="solid">
        <fgColor indexed="62"/>
        <bgColor indexed="64"/>
      </patternFill>
    </fill>
    <fill>
      <patternFill patternType="solid">
        <fgColor indexed="21"/>
        <bgColor indexed="64"/>
      </patternFill>
    </fill>
    <fill>
      <patternFill patternType="solid">
        <fgColor indexed="41"/>
        <bgColor indexed="64"/>
      </patternFill>
    </fill>
    <fill>
      <patternFill patternType="solid">
        <fgColor indexed="49"/>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20"/>
        <bgColor indexed="64"/>
      </patternFill>
    </fill>
  </fills>
  <borders count="6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color indexed="8"/>
      </left>
      <right style="medium">
        <color indexed="8"/>
      </right>
      <top style="medium">
        <color indexed="8"/>
      </top>
      <bottom style="medium">
        <color indexed="8"/>
      </bottom>
    </border>
    <border>
      <left style="medium">
        <color indexed="8"/>
      </left>
      <right style="medium"/>
      <top style="medium"/>
      <bottom>
        <color indexed="63"/>
      </bottom>
    </border>
    <border>
      <left style="medium">
        <color indexed="8"/>
      </left>
      <right style="medium">
        <color indexed="8"/>
      </right>
      <top style="medium">
        <color indexed="8"/>
      </top>
      <bottom>
        <color indexed="63"/>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double"/>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right style="medium"/>
      <top style="medium">
        <color indexed="8"/>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medium">
        <color indexed="8"/>
      </right>
      <top>
        <color indexed="63"/>
      </top>
      <bottom>
        <color indexed="63"/>
      </bottom>
    </border>
    <border>
      <left style="medium">
        <color indexed="8"/>
      </left>
      <right style="medium"/>
      <top style="medium">
        <color indexed="8"/>
      </top>
      <bottom style="medium"/>
    </border>
    <border>
      <left style="medium">
        <color indexed="8"/>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color indexed="8"/>
      </left>
      <right>
        <color indexed="63"/>
      </right>
      <top style="medium">
        <color indexed="8"/>
      </top>
      <bottom style="medium">
        <color indexed="8"/>
      </bottom>
    </border>
    <border>
      <left style="medium">
        <color indexed="8"/>
      </left>
      <right>
        <color indexed="63"/>
      </right>
      <top style="medium">
        <color indexed="8"/>
      </top>
      <bottom style="double"/>
    </border>
    <border>
      <left style="medium">
        <color indexed="8"/>
      </left>
      <right>
        <color indexed="63"/>
      </right>
      <top>
        <color indexed="63"/>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color indexed="63"/>
      </top>
      <bottom style="medium">
        <color indexed="8"/>
      </bottom>
    </border>
    <border>
      <left style="medium"/>
      <right style="medium"/>
      <top style="medium">
        <color indexed="8"/>
      </top>
      <bottom>
        <color indexed="63"/>
      </bottom>
    </border>
    <border>
      <left style="medium"/>
      <right style="medium"/>
      <top style="medium"/>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border>
    <border>
      <left style="medium"/>
      <right style="medium"/>
      <top>
        <color indexed="63"/>
      </top>
      <bottom style="medium"/>
    </border>
    <border>
      <left>
        <color indexed="63"/>
      </left>
      <right>
        <color indexed="63"/>
      </right>
      <top style="medium">
        <color indexed="8"/>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31">
    <xf numFmtId="0" fontId="0" fillId="0" borderId="0" xfId="0" applyAlignment="1">
      <alignment/>
    </xf>
    <xf numFmtId="0" fontId="4" fillId="2" borderId="0" xfId="0" applyFont="1" applyFill="1" applyAlignment="1">
      <alignment/>
    </xf>
    <xf numFmtId="0" fontId="5" fillId="2" borderId="0" xfId="0" applyFont="1" applyFill="1" applyAlignment="1">
      <alignment/>
    </xf>
    <xf numFmtId="0" fontId="5" fillId="2" borderId="0" xfId="0" applyFont="1" applyFill="1" applyAlignment="1">
      <alignment wrapText="1"/>
    </xf>
    <xf numFmtId="0" fontId="0" fillId="0" borderId="0" xfId="0" applyAlignment="1">
      <alignment wrapText="1"/>
    </xf>
    <xf numFmtId="0" fontId="6" fillId="0" borderId="0" xfId="0" applyFont="1" applyAlignment="1">
      <alignment/>
    </xf>
    <xf numFmtId="0" fontId="7" fillId="3" borderId="1" xfId="0" applyFont="1" applyFill="1" applyBorder="1" applyAlignment="1">
      <alignment/>
    </xf>
    <xf numFmtId="0" fontId="7" fillId="3" borderId="2" xfId="0" applyFont="1" applyFill="1" applyBorder="1" applyAlignment="1">
      <alignment/>
    </xf>
    <xf numFmtId="0" fontId="6" fillId="3" borderId="2" xfId="0" applyFont="1" applyFill="1" applyBorder="1" applyAlignment="1">
      <alignment/>
    </xf>
    <xf numFmtId="0" fontId="6" fillId="0" borderId="2" xfId="0" applyFont="1" applyBorder="1" applyAlignment="1">
      <alignment/>
    </xf>
    <xf numFmtId="0" fontId="6" fillId="0" borderId="3" xfId="0" applyFont="1" applyBorder="1" applyAlignment="1">
      <alignment wrapText="1"/>
    </xf>
    <xf numFmtId="0" fontId="6" fillId="4" borderId="4" xfId="0" applyFont="1" applyFill="1" applyBorder="1" applyAlignment="1">
      <alignment/>
    </xf>
    <xf numFmtId="0" fontId="6" fillId="4" borderId="0" xfId="0" applyFont="1" applyFill="1" applyBorder="1" applyAlignment="1">
      <alignment/>
    </xf>
    <xf numFmtId="0" fontId="6" fillId="0" borderId="0" xfId="0" applyFont="1" applyBorder="1" applyAlignment="1">
      <alignment/>
    </xf>
    <xf numFmtId="0" fontId="6" fillId="0" borderId="5" xfId="0" applyFont="1" applyBorder="1" applyAlignment="1">
      <alignment wrapText="1"/>
    </xf>
    <xf numFmtId="0" fontId="7" fillId="3" borderId="4" xfId="0" applyFont="1" applyFill="1" applyBorder="1" applyAlignment="1">
      <alignment/>
    </xf>
    <xf numFmtId="0" fontId="7" fillId="3" borderId="0" xfId="0" applyFont="1" applyFill="1" applyBorder="1" applyAlignment="1">
      <alignment/>
    </xf>
    <xf numFmtId="0" fontId="6" fillId="3" borderId="0" xfId="0" applyFont="1" applyFill="1" applyBorder="1" applyAlignment="1">
      <alignment/>
    </xf>
    <xf numFmtId="0" fontId="6" fillId="4" borderId="6" xfId="0" applyFont="1" applyFill="1" applyBorder="1" applyAlignment="1">
      <alignment/>
    </xf>
    <xf numFmtId="0" fontId="6" fillId="4" borderId="7" xfId="0" applyFont="1" applyFill="1" applyBorder="1" applyAlignment="1">
      <alignment/>
    </xf>
    <xf numFmtId="0" fontId="6" fillId="0" borderId="7" xfId="0" applyFont="1" applyBorder="1" applyAlignment="1">
      <alignment/>
    </xf>
    <xf numFmtId="0" fontId="6" fillId="0" borderId="8" xfId="0" applyFont="1" applyBorder="1" applyAlignment="1">
      <alignment wrapText="1"/>
    </xf>
    <xf numFmtId="0" fontId="8" fillId="4" borderId="9" xfId="0" applyFont="1" applyFill="1" applyBorder="1" applyAlignment="1">
      <alignment/>
    </xf>
    <xf numFmtId="0" fontId="10" fillId="4" borderId="10" xfId="0" applyFont="1" applyFill="1" applyBorder="1" applyAlignment="1">
      <alignment/>
    </xf>
    <xf numFmtId="0" fontId="0" fillId="4" borderId="10" xfId="0" applyFill="1" applyBorder="1" applyAlignment="1">
      <alignment/>
    </xf>
    <xf numFmtId="0" fontId="6" fillId="0" borderId="10" xfId="0" applyFont="1" applyFill="1" applyBorder="1" applyAlignment="1">
      <alignment/>
    </xf>
    <xf numFmtId="0" fontId="0" fillId="0" borderId="11" xfId="0" applyBorder="1" applyAlignment="1">
      <alignment wrapText="1"/>
    </xf>
    <xf numFmtId="0" fontId="6" fillId="0" borderId="5" xfId="0" applyFont="1" applyBorder="1" applyAlignment="1">
      <alignment horizontal="left" wrapText="1"/>
    </xf>
    <xf numFmtId="0" fontId="0" fillId="0" borderId="5" xfId="0" applyBorder="1" applyAlignment="1">
      <alignment/>
    </xf>
    <xf numFmtId="0" fontId="6" fillId="4" borderId="12" xfId="0" applyFont="1" applyFill="1" applyBorder="1" applyAlignment="1">
      <alignment horizontal="left"/>
    </xf>
    <xf numFmtId="0" fontId="6" fillId="4" borderId="13" xfId="0" applyFont="1" applyFill="1" applyBorder="1" applyAlignment="1">
      <alignment horizontal="left"/>
    </xf>
    <xf numFmtId="0" fontId="6" fillId="0" borderId="14" xfId="0" applyFont="1" applyBorder="1" applyAlignment="1">
      <alignment horizontal="left" wrapText="1"/>
    </xf>
    <xf numFmtId="0" fontId="8" fillId="4" borderId="0" xfId="0" applyFont="1" applyFill="1" applyBorder="1" applyAlignment="1">
      <alignment/>
    </xf>
    <xf numFmtId="0" fontId="0" fillId="0" borderId="0" xfId="0" applyAlignment="1">
      <alignment vertical="center" wrapText="1"/>
    </xf>
    <xf numFmtId="0" fontId="6" fillId="5" borderId="15" xfId="0" applyFont="1" applyFill="1" applyBorder="1" applyAlignment="1">
      <alignment vertical="center" wrapText="1"/>
    </xf>
    <xf numFmtId="0" fontId="12" fillId="5" borderId="16" xfId="0" applyFont="1" applyFill="1" applyBorder="1" applyAlignment="1">
      <alignment vertical="center" wrapText="1"/>
    </xf>
    <xf numFmtId="0" fontId="12" fillId="5" borderId="17" xfId="0" applyFont="1" applyFill="1" applyBorder="1" applyAlignment="1">
      <alignment vertical="center" wrapText="1"/>
    </xf>
    <xf numFmtId="0" fontId="0" fillId="0" borderId="18" xfId="0" applyFont="1" applyBorder="1" applyAlignment="1">
      <alignment vertical="center" wrapText="1"/>
    </xf>
    <xf numFmtId="0" fontId="0" fillId="6" borderId="15" xfId="0" applyFont="1" applyFill="1" applyBorder="1" applyAlignment="1">
      <alignment vertical="center" wrapText="1"/>
    </xf>
    <xf numFmtId="0" fontId="6" fillId="5" borderId="17" xfId="0" applyFont="1" applyFill="1" applyBorder="1" applyAlignment="1">
      <alignment horizontal="left" vertical="center" wrapText="1"/>
    </xf>
    <xf numFmtId="0" fontId="0" fillId="6" borderId="15" xfId="0" applyFont="1" applyFill="1" applyBorder="1" applyAlignment="1">
      <alignment vertical="center" wrapText="1"/>
    </xf>
    <xf numFmtId="2" fontId="13" fillId="7" borderId="15" xfId="0" applyNumberFormat="1" applyFont="1" applyFill="1" applyBorder="1" applyAlignment="1">
      <alignment horizontal="right" vertical="center" wrapText="1"/>
    </xf>
    <xf numFmtId="196" fontId="13" fillId="7" borderId="15" xfId="0" applyNumberFormat="1" applyFont="1" applyFill="1" applyBorder="1" applyAlignment="1">
      <alignment horizontal="right" vertical="center" wrapText="1"/>
    </xf>
    <xf numFmtId="0" fontId="6" fillId="5" borderId="17" xfId="0" applyFont="1" applyFill="1" applyBorder="1" applyAlignment="1">
      <alignment horizontal="left" vertical="center" wrapText="1"/>
    </xf>
    <xf numFmtId="2" fontId="13" fillId="7" borderId="17" xfId="0" applyNumberFormat="1" applyFont="1" applyFill="1" applyBorder="1" applyAlignment="1">
      <alignment horizontal="right" vertical="center" wrapText="1"/>
    </xf>
    <xf numFmtId="0" fontId="6" fillId="5" borderId="15" xfId="0" applyFont="1" applyFill="1" applyBorder="1" applyAlignment="1">
      <alignment vertical="center" wrapText="1"/>
    </xf>
    <xf numFmtId="0" fontId="6" fillId="5" borderId="19" xfId="0" applyFont="1" applyFill="1" applyBorder="1" applyAlignment="1">
      <alignment vertical="center" wrapText="1"/>
    </xf>
    <xf numFmtId="196" fontId="13" fillId="7" borderId="19" xfId="0" applyNumberFormat="1" applyFont="1" applyFill="1" applyBorder="1" applyAlignment="1">
      <alignment horizontal="right" vertical="center" wrapText="1"/>
    </xf>
    <xf numFmtId="0" fontId="0" fillId="6" borderId="19" xfId="0" applyFont="1" applyFill="1" applyBorder="1" applyAlignment="1">
      <alignment vertical="center" wrapText="1"/>
    </xf>
    <xf numFmtId="0" fontId="11" fillId="5" borderId="20" xfId="0" applyFont="1" applyFill="1" applyBorder="1" applyAlignment="1">
      <alignment vertical="center" wrapText="1"/>
    </xf>
    <xf numFmtId="2" fontId="13" fillId="7" borderId="20" xfId="0" applyNumberFormat="1" applyFont="1" applyFill="1" applyBorder="1" applyAlignment="1">
      <alignment horizontal="right" vertical="center" wrapText="1"/>
    </xf>
    <xf numFmtId="196" fontId="14" fillId="7" borderId="20" xfId="0" applyNumberFormat="1" applyFont="1" applyFill="1" applyBorder="1" applyAlignment="1">
      <alignment horizontal="right" vertical="center" wrapText="1"/>
    </xf>
    <xf numFmtId="0" fontId="0" fillId="6" borderId="20" xfId="0" applyFont="1" applyFill="1" applyBorder="1" applyAlignment="1">
      <alignment vertical="center" wrapText="1"/>
    </xf>
    <xf numFmtId="0" fontId="11" fillId="5" borderId="15" xfId="0" applyFont="1" applyFill="1" applyBorder="1" applyAlignment="1">
      <alignment vertical="center" wrapText="1"/>
    </xf>
    <xf numFmtId="0" fontId="0" fillId="0" borderId="0" xfId="0" applyAlignment="1">
      <alignment vertical="center"/>
    </xf>
    <xf numFmtId="0" fontId="11" fillId="5" borderId="21" xfId="0" applyFont="1" applyFill="1" applyBorder="1" applyAlignment="1">
      <alignment vertical="center" wrapText="1"/>
    </xf>
    <xf numFmtId="0" fontId="0" fillId="6" borderId="22" xfId="0" applyFont="1" applyFill="1" applyBorder="1" applyAlignment="1">
      <alignment vertical="center" wrapText="1"/>
    </xf>
    <xf numFmtId="0" fontId="0" fillId="0" borderId="2" xfId="0" applyBorder="1" applyAlignment="1">
      <alignment/>
    </xf>
    <xf numFmtId="0" fontId="0" fillId="0" borderId="23" xfId="0" applyBorder="1" applyAlignment="1">
      <alignment/>
    </xf>
    <xf numFmtId="0" fontId="0" fillId="0" borderId="23" xfId="0" applyBorder="1" applyAlignment="1">
      <alignment wrapText="1"/>
    </xf>
    <xf numFmtId="0" fontId="0" fillId="0" borderId="0" xfId="0" applyBorder="1" applyAlignment="1">
      <alignment/>
    </xf>
    <xf numFmtId="0" fontId="16" fillId="0" borderId="0" xfId="0" applyFont="1" applyAlignment="1">
      <alignment/>
    </xf>
    <xf numFmtId="0" fontId="12" fillId="5" borderId="1" xfId="0" applyFont="1" applyFill="1" applyBorder="1" applyAlignment="1">
      <alignment horizontal="center" wrapText="1"/>
    </xf>
    <xf numFmtId="0" fontId="12" fillId="5" borderId="2" xfId="0" applyFont="1" applyFill="1" applyBorder="1" applyAlignment="1">
      <alignment horizontal="center" wrapText="1"/>
    </xf>
    <xf numFmtId="0" fontId="12" fillId="5" borderId="3" xfId="0" applyFont="1" applyFill="1" applyBorder="1" applyAlignment="1">
      <alignment horizontal="center" wrapText="1"/>
    </xf>
    <xf numFmtId="9" fontId="12" fillId="5" borderId="24" xfId="0" applyNumberFormat="1" applyFont="1" applyFill="1" applyBorder="1" applyAlignment="1">
      <alignment/>
    </xf>
    <xf numFmtId="10" fontId="0" fillId="0" borderId="0" xfId="0" applyNumberFormat="1" applyAlignment="1">
      <alignment/>
    </xf>
    <xf numFmtId="9" fontId="12" fillId="5" borderId="25" xfId="0" applyNumberFormat="1" applyFont="1" applyFill="1" applyBorder="1" applyAlignment="1">
      <alignment/>
    </xf>
    <xf numFmtId="10" fontId="0" fillId="0" borderId="4" xfId="0" applyNumberFormat="1" applyBorder="1" applyAlignment="1">
      <alignment/>
    </xf>
    <xf numFmtId="10" fontId="0" fillId="0" borderId="0" xfId="0" applyNumberFormat="1" applyBorder="1" applyAlignment="1">
      <alignment/>
    </xf>
    <xf numFmtId="10" fontId="0" fillId="0" borderId="26" xfId="0" applyNumberFormat="1" applyBorder="1" applyAlignment="1">
      <alignment/>
    </xf>
    <xf numFmtId="9" fontId="12" fillId="5" borderId="6" xfId="0" applyNumberFormat="1" applyFont="1" applyFill="1" applyBorder="1" applyAlignment="1">
      <alignment/>
    </xf>
    <xf numFmtId="10" fontId="0" fillId="0" borderId="6" xfId="0" applyNumberFormat="1" applyBorder="1" applyAlignment="1">
      <alignment/>
    </xf>
    <xf numFmtId="10" fontId="0" fillId="0" borderId="7" xfId="0" applyNumberFormat="1" applyBorder="1" applyAlignment="1">
      <alignment/>
    </xf>
    <xf numFmtId="10" fontId="0" fillId="0" borderId="8" xfId="0" applyNumberFormat="1" applyBorder="1" applyAlignment="1">
      <alignment/>
    </xf>
    <xf numFmtId="9" fontId="12" fillId="5" borderId="24" xfId="0" applyNumberFormat="1" applyFont="1" applyFill="1" applyBorder="1" applyAlignment="1">
      <alignment horizontal="right" wrapText="1"/>
    </xf>
    <xf numFmtId="10" fontId="0" fillId="0" borderId="2" xfId="0" applyNumberFormat="1" applyBorder="1" applyAlignment="1">
      <alignment/>
    </xf>
    <xf numFmtId="10" fontId="0" fillId="0" borderId="3" xfId="0" applyNumberFormat="1" applyBorder="1" applyAlignment="1">
      <alignment/>
    </xf>
    <xf numFmtId="10" fontId="0" fillId="0" borderId="5" xfId="0" applyNumberFormat="1" applyBorder="1" applyAlignment="1">
      <alignment/>
    </xf>
    <xf numFmtId="0" fontId="0" fillId="0" borderId="4" xfId="0" applyBorder="1" applyAlignment="1">
      <alignment/>
    </xf>
    <xf numFmtId="0" fontId="0" fillId="0" borderId="0" xfId="0" applyBorder="1" applyAlignment="1">
      <alignment horizontal="center" wrapText="1"/>
    </xf>
    <xf numFmtId="0" fontId="11" fillId="4" borderId="6" xfId="0" applyFont="1" applyFill="1" applyBorder="1" applyAlignment="1">
      <alignment/>
    </xf>
    <xf numFmtId="0" fontId="11" fillId="4" borderId="8" xfId="0" applyFont="1" applyFill="1" applyBorder="1" applyAlignment="1">
      <alignment horizontal="left" wrapText="1"/>
    </xf>
    <xf numFmtId="0" fontId="0" fillId="4" borderId="0" xfId="0" applyFill="1" applyAlignment="1">
      <alignment/>
    </xf>
    <xf numFmtId="0" fontId="0" fillId="4" borderId="0" xfId="0" applyFont="1" applyFill="1" applyAlignment="1">
      <alignment/>
    </xf>
    <xf numFmtId="0" fontId="0" fillId="0" borderId="27" xfId="0" applyFont="1" applyBorder="1" applyAlignment="1">
      <alignment wrapText="1"/>
    </xf>
    <xf numFmtId="0" fontId="0" fillId="0" borderId="28" xfId="0" applyFont="1" applyBorder="1" applyAlignment="1">
      <alignment horizontal="left" wrapText="1"/>
    </xf>
    <xf numFmtId="0" fontId="13" fillId="7" borderId="20" xfId="0" applyFont="1" applyFill="1" applyBorder="1" applyAlignment="1">
      <alignment horizontal="left" wrapText="1"/>
    </xf>
    <xf numFmtId="0" fontId="27" fillId="0" borderId="0" xfId="0" applyFont="1" applyAlignment="1">
      <alignment/>
    </xf>
    <xf numFmtId="0" fontId="0" fillId="7" borderId="29" xfId="0" applyFill="1" applyBorder="1" applyAlignment="1">
      <alignment horizontal="center"/>
    </xf>
    <xf numFmtId="0" fontId="0" fillId="7" borderId="30" xfId="0" applyFill="1" applyBorder="1" applyAlignment="1">
      <alignment horizontal="center"/>
    </xf>
    <xf numFmtId="0" fontId="0" fillId="7" borderId="31" xfId="0" applyFill="1" applyBorder="1" applyAlignment="1">
      <alignment horizontal="center"/>
    </xf>
    <xf numFmtId="0" fontId="0" fillId="7" borderId="32" xfId="0" applyFill="1" applyBorder="1" applyAlignment="1">
      <alignment horizontal="center"/>
    </xf>
    <xf numFmtId="0" fontId="12" fillId="8" borderId="33" xfId="0" applyFont="1" applyFill="1" applyBorder="1" applyAlignment="1">
      <alignment horizontal="center"/>
    </xf>
    <xf numFmtId="0" fontId="12" fillId="8" borderId="0" xfId="0" applyFont="1" applyFill="1" applyBorder="1" applyAlignment="1">
      <alignment horizontal="center"/>
    </xf>
    <xf numFmtId="0" fontId="12" fillId="8" borderId="34" xfId="0" applyFont="1" applyFill="1" applyBorder="1" applyAlignment="1">
      <alignment horizontal="center"/>
    </xf>
    <xf numFmtId="0" fontId="12" fillId="8" borderId="35" xfId="0" applyFont="1" applyFill="1" applyBorder="1" applyAlignment="1">
      <alignment horizontal="center"/>
    </xf>
    <xf numFmtId="0" fontId="28" fillId="5" borderId="0" xfId="0" applyFont="1" applyFill="1" applyAlignment="1">
      <alignment/>
    </xf>
    <xf numFmtId="0" fontId="29" fillId="5" borderId="33" xfId="0" applyFont="1" applyFill="1" applyBorder="1" applyAlignment="1">
      <alignment/>
    </xf>
    <xf numFmtId="0" fontId="29" fillId="5" borderId="0" xfId="0" applyFont="1" applyFill="1" applyBorder="1" applyAlignment="1">
      <alignment/>
    </xf>
    <xf numFmtId="0" fontId="29" fillId="5" borderId="34" xfId="0" applyFont="1" applyFill="1" applyBorder="1" applyAlignment="1">
      <alignment/>
    </xf>
    <xf numFmtId="0" fontId="29" fillId="5" borderId="35" xfId="0" applyFont="1" applyFill="1" applyBorder="1" applyAlignment="1">
      <alignment/>
    </xf>
    <xf numFmtId="0" fontId="13" fillId="0" borderId="0" xfId="0" applyFont="1" applyAlignment="1">
      <alignment/>
    </xf>
    <xf numFmtId="0" fontId="13" fillId="0" borderId="0" xfId="0" applyFont="1" applyBorder="1" applyAlignment="1" applyProtection="1">
      <alignment/>
      <protection locked="0"/>
    </xf>
    <xf numFmtId="3" fontId="13" fillId="0" borderId="0" xfId="0" applyNumberFormat="1" applyFont="1" applyBorder="1" applyAlignment="1" applyProtection="1">
      <alignment/>
      <protection locked="0"/>
    </xf>
    <xf numFmtId="3" fontId="13" fillId="0" borderId="34" xfId="0" applyNumberFormat="1" applyFont="1" applyBorder="1" applyAlignment="1">
      <alignment/>
    </xf>
    <xf numFmtId="3" fontId="13" fillId="0" borderId="35" xfId="0" applyNumberFormat="1" applyFont="1" applyBorder="1" applyAlignment="1">
      <alignment/>
    </xf>
    <xf numFmtId="3" fontId="0" fillId="0" borderId="0" xfId="0" applyNumberFormat="1" applyAlignment="1">
      <alignment/>
    </xf>
    <xf numFmtId="3" fontId="13" fillId="0" borderId="35" xfId="0" applyNumberFormat="1" applyFont="1" applyFill="1" applyBorder="1" applyAlignment="1">
      <alignment/>
    </xf>
    <xf numFmtId="0" fontId="30" fillId="0" borderId="0" xfId="0" applyFont="1" applyBorder="1" applyAlignment="1" applyProtection="1">
      <alignment/>
      <protection locked="0"/>
    </xf>
    <xf numFmtId="3" fontId="29" fillId="5" borderId="35" xfId="0" applyNumberFormat="1" applyFont="1" applyFill="1" applyBorder="1" applyAlignment="1">
      <alignment/>
    </xf>
    <xf numFmtId="3" fontId="0" fillId="7" borderId="33" xfId="0" applyNumberFormat="1" applyFill="1" applyBorder="1" applyAlignment="1">
      <alignment/>
    </xf>
    <xf numFmtId="3" fontId="0" fillId="7" borderId="0" xfId="0" applyNumberFormat="1" applyFill="1" applyBorder="1" applyAlignment="1">
      <alignment/>
    </xf>
    <xf numFmtId="3" fontId="0" fillId="7" borderId="34" xfId="0" applyNumberFormat="1" applyFill="1" applyBorder="1" applyAlignment="1">
      <alignment/>
    </xf>
    <xf numFmtId="3" fontId="0" fillId="7" borderId="35" xfId="0" applyNumberFormat="1" applyFill="1" applyBorder="1" applyAlignment="1">
      <alignment/>
    </xf>
    <xf numFmtId="0" fontId="12" fillId="8" borderId="0" xfId="0" applyFont="1" applyFill="1" applyAlignment="1">
      <alignment/>
    </xf>
    <xf numFmtId="3" fontId="12" fillId="8" borderId="33" xfId="0" applyNumberFormat="1" applyFont="1" applyFill="1" applyBorder="1" applyAlignment="1">
      <alignment/>
    </xf>
    <xf numFmtId="3" fontId="12" fillId="8" borderId="0" xfId="0" applyNumberFormat="1" applyFont="1" applyFill="1" applyBorder="1" applyAlignment="1">
      <alignment/>
    </xf>
    <xf numFmtId="3" fontId="12" fillId="8" borderId="34" xfId="0" applyNumberFormat="1" applyFont="1" applyFill="1" applyBorder="1" applyAlignment="1">
      <alignment/>
    </xf>
    <xf numFmtId="3" fontId="12" fillId="8" borderId="35" xfId="0" applyNumberFormat="1" applyFont="1" applyFill="1" applyBorder="1" applyAlignment="1">
      <alignment/>
    </xf>
    <xf numFmtId="0" fontId="0" fillId="8" borderId="0" xfId="0" applyFill="1" applyAlignment="1">
      <alignment/>
    </xf>
    <xf numFmtId="0" fontId="31" fillId="0" borderId="0" xfId="0" applyFont="1" applyAlignment="1">
      <alignment/>
    </xf>
    <xf numFmtId="3" fontId="0" fillId="0" borderId="33" xfId="0" applyNumberFormat="1" applyBorder="1" applyAlignment="1">
      <alignment/>
    </xf>
    <xf numFmtId="3" fontId="0" fillId="0" borderId="34" xfId="0" applyNumberFormat="1" applyBorder="1" applyAlignment="1">
      <alignment/>
    </xf>
    <xf numFmtId="3" fontId="0" fillId="0" borderId="35" xfId="0" applyNumberFormat="1" applyBorder="1" applyAlignment="1">
      <alignment/>
    </xf>
    <xf numFmtId="3" fontId="0" fillId="0" borderId="0" xfId="0" applyNumberFormat="1" applyBorder="1" applyAlignment="1">
      <alignment/>
    </xf>
    <xf numFmtId="0" fontId="30" fillId="0" borderId="0" xfId="0" applyFont="1" applyAlignment="1">
      <alignment/>
    </xf>
    <xf numFmtId="0" fontId="0" fillId="0" borderId="33" xfId="0" applyBorder="1" applyAlignment="1">
      <alignment/>
    </xf>
    <xf numFmtId="0" fontId="13" fillId="5" borderId="33" xfId="0" applyFont="1" applyFill="1" applyBorder="1" applyAlignment="1">
      <alignment/>
    </xf>
    <xf numFmtId="0" fontId="13" fillId="5" borderId="0" xfId="0" applyFont="1" applyFill="1" applyBorder="1" applyAlignment="1">
      <alignment/>
    </xf>
    <xf numFmtId="0" fontId="13" fillId="5" borderId="34" xfId="0" applyFont="1" applyFill="1" applyBorder="1" applyAlignment="1">
      <alignment/>
    </xf>
    <xf numFmtId="3" fontId="13" fillId="5" borderId="35" xfId="0" applyNumberFormat="1" applyFont="1" applyFill="1" applyBorder="1" applyAlignment="1">
      <alignment/>
    </xf>
    <xf numFmtId="3" fontId="12" fillId="8" borderId="33" xfId="0" applyNumberFormat="1" applyFont="1" applyFill="1" applyBorder="1" applyAlignment="1">
      <alignment/>
    </xf>
    <xf numFmtId="3" fontId="12" fillId="8" borderId="0" xfId="0" applyNumberFormat="1" applyFont="1" applyFill="1" applyBorder="1" applyAlignment="1">
      <alignment/>
    </xf>
    <xf numFmtId="3" fontId="12" fillId="8" borderId="34" xfId="0" applyNumberFormat="1" applyFont="1" applyFill="1" applyBorder="1" applyAlignment="1">
      <alignment/>
    </xf>
    <xf numFmtId="0" fontId="29" fillId="5" borderId="0" xfId="0" applyFont="1" applyFill="1" applyAlignment="1">
      <alignment/>
    </xf>
    <xf numFmtId="3" fontId="13" fillId="7" borderId="34" xfId="0" applyNumberFormat="1" applyFont="1" applyFill="1" applyBorder="1" applyAlignment="1">
      <alignment/>
    </xf>
    <xf numFmtId="3" fontId="13" fillId="0" borderId="35" xfId="0" applyNumberFormat="1"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lignment/>
    </xf>
    <xf numFmtId="3" fontId="0" fillId="0" borderId="34" xfId="0" applyNumberFormat="1" applyFont="1" applyBorder="1" applyAlignment="1">
      <alignment/>
    </xf>
    <xf numFmtId="3" fontId="0" fillId="0" borderId="35" xfId="0" applyNumberFormat="1" applyFont="1" applyBorder="1" applyAlignment="1" applyProtection="1">
      <alignment/>
      <protection locked="0"/>
    </xf>
    <xf numFmtId="3" fontId="0" fillId="0" borderId="0" xfId="0" applyNumberFormat="1" applyFont="1" applyAlignment="1">
      <alignment/>
    </xf>
    <xf numFmtId="3" fontId="12" fillId="8" borderId="35" xfId="0" applyNumberFormat="1" applyFont="1" applyFill="1" applyBorder="1" applyAlignment="1">
      <alignment/>
    </xf>
    <xf numFmtId="1" fontId="0" fillId="7" borderId="33" xfId="0" applyNumberFormat="1" applyFill="1" applyBorder="1" applyAlignment="1">
      <alignment/>
    </xf>
    <xf numFmtId="1" fontId="0" fillId="7" borderId="0" xfId="0" applyNumberFormat="1" applyFill="1" applyBorder="1" applyAlignment="1">
      <alignment/>
    </xf>
    <xf numFmtId="1" fontId="0" fillId="7" borderId="34" xfId="0" applyNumberFormat="1" applyFill="1" applyBorder="1" applyAlignment="1">
      <alignment/>
    </xf>
    <xf numFmtId="1" fontId="12" fillId="8" borderId="33" xfId="0" applyNumberFormat="1" applyFont="1" applyFill="1" applyBorder="1" applyAlignment="1">
      <alignment/>
    </xf>
    <xf numFmtId="1" fontId="12" fillId="8" borderId="0" xfId="0" applyNumberFormat="1" applyFont="1" applyFill="1" applyBorder="1" applyAlignment="1">
      <alignment/>
    </xf>
    <xf numFmtId="1" fontId="12" fillId="8" borderId="34" xfId="0" applyNumberFormat="1" applyFont="1" applyFill="1" applyBorder="1" applyAlignment="1">
      <alignment/>
    </xf>
    <xf numFmtId="0" fontId="12" fillId="0" borderId="0" xfId="0" applyFont="1" applyAlignment="1">
      <alignment/>
    </xf>
    <xf numFmtId="3" fontId="12" fillId="0" borderId="0" xfId="0" applyNumberFormat="1" applyFont="1" applyAlignment="1">
      <alignment/>
    </xf>
    <xf numFmtId="0" fontId="0" fillId="0" borderId="0" xfId="0" applyAlignment="1">
      <alignment horizontal="right"/>
    </xf>
    <xf numFmtId="0" fontId="0" fillId="0" borderId="35" xfId="0" applyBorder="1" applyAlignment="1">
      <alignment/>
    </xf>
    <xf numFmtId="3" fontId="0" fillId="0" borderId="2" xfId="0" applyNumberFormat="1" applyBorder="1" applyAlignment="1">
      <alignment/>
    </xf>
    <xf numFmtId="0" fontId="14" fillId="0" borderId="0" xfId="0" applyFont="1" applyAlignment="1">
      <alignment/>
    </xf>
    <xf numFmtId="0" fontId="14" fillId="0" borderId="23" xfId="0" applyFont="1" applyBorder="1" applyAlignment="1">
      <alignment/>
    </xf>
    <xf numFmtId="0" fontId="13" fillId="0" borderId="23" xfId="0" applyFont="1" applyBorder="1" applyAlignment="1">
      <alignment/>
    </xf>
    <xf numFmtId="0" fontId="13" fillId="0" borderId="30" xfId="0" applyFont="1" applyBorder="1" applyAlignment="1">
      <alignment/>
    </xf>
    <xf numFmtId="0" fontId="13" fillId="0" borderId="31" xfId="0" applyFont="1" applyBorder="1" applyAlignment="1">
      <alignment/>
    </xf>
    <xf numFmtId="0" fontId="13" fillId="0" borderId="30" xfId="0" applyFont="1" applyBorder="1" applyAlignment="1">
      <alignment/>
    </xf>
    <xf numFmtId="0" fontId="13" fillId="0" borderId="31" xfId="0" applyFont="1" applyBorder="1" applyAlignment="1">
      <alignment/>
    </xf>
    <xf numFmtId="0" fontId="13" fillId="0" borderId="0" xfId="0" applyFont="1" applyBorder="1" applyAlignment="1">
      <alignment/>
    </xf>
    <xf numFmtId="0" fontId="13" fillId="0" borderId="34" xfId="0" applyFont="1" applyBorder="1" applyAlignment="1">
      <alignment/>
    </xf>
    <xf numFmtId="0" fontId="13" fillId="0" borderId="0" xfId="0" applyFont="1" applyBorder="1" applyAlignment="1">
      <alignment horizontal="left"/>
    </xf>
    <xf numFmtId="0" fontId="13" fillId="0" borderId="0" xfId="0" applyFont="1" applyBorder="1" applyAlignment="1">
      <alignment/>
    </xf>
    <xf numFmtId="0" fontId="13" fillId="0" borderId="34" xfId="0" applyFont="1" applyBorder="1" applyAlignment="1">
      <alignment/>
    </xf>
    <xf numFmtId="0" fontId="13" fillId="0" borderId="23" xfId="0" applyFont="1" applyBorder="1" applyAlignment="1">
      <alignment/>
    </xf>
    <xf numFmtId="0" fontId="13" fillId="0" borderId="36" xfId="0" applyFont="1" applyBorder="1" applyAlignment="1">
      <alignment/>
    </xf>
    <xf numFmtId="0" fontId="13" fillId="0" borderId="36" xfId="0" applyFont="1" applyBorder="1" applyAlignment="1">
      <alignment/>
    </xf>
    <xf numFmtId="175" fontId="0" fillId="0" borderId="0" xfId="0" applyNumberFormat="1" applyAlignment="1">
      <alignment/>
    </xf>
    <xf numFmtId="8" fontId="0" fillId="0" borderId="0" xfId="0" applyNumberFormat="1" applyAlignment="1">
      <alignment/>
    </xf>
    <xf numFmtId="0" fontId="13" fillId="0" borderId="0" xfId="0" applyFont="1" applyAlignment="1">
      <alignment/>
    </xf>
    <xf numFmtId="198" fontId="13" fillId="0" borderId="0" xfId="0" applyNumberFormat="1" applyFont="1" applyAlignment="1">
      <alignment/>
    </xf>
    <xf numFmtId="1" fontId="0" fillId="0" borderId="0" xfId="0" applyNumberFormat="1" applyAlignment="1">
      <alignment/>
    </xf>
    <xf numFmtId="0" fontId="13" fillId="8" borderId="23" xfId="0" applyFont="1" applyFill="1" applyBorder="1" applyAlignment="1">
      <alignment/>
    </xf>
    <xf numFmtId="0" fontId="13" fillId="8" borderId="36" xfId="0" applyFont="1" applyFill="1" applyBorder="1" applyAlignment="1">
      <alignment/>
    </xf>
    <xf numFmtId="0" fontId="13" fillId="0" borderId="30" xfId="0" applyFont="1" applyBorder="1" applyAlignment="1">
      <alignment horizontal="left"/>
    </xf>
    <xf numFmtId="3" fontId="13" fillId="0" borderId="34" xfId="0" applyNumberFormat="1" applyFont="1" applyBorder="1" applyAlignment="1">
      <alignment/>
    </xf>
    <xf numFmtId="0" fontId="13" fillId="0" borderId="29" xfId="0" applyFont="1" applyBorder="1" applyAlignment="1">
      <alignment horizontal="left"/>
    </xf>
    <xf numFmtId="3" fontId="13" fillId="0" borderId="0" xfId="0" applyNumberFormat="1" applyFont="1" applyAlignment="1">
      <alignment/>
    </xf>
    <xf numFmtId="0" fontId="13" fillId="0" borderId="0" xfId="0" applyFont="1" applyAlignment="1">
      <alignment horizontal="left"/>
    </xf>
    <xf numFmtId="0" fontId="13" fillId="0" borderId="23" xfId="0" applyFont="1" applyBorder="1" applyAlignment="1">
      <alignment horizontal="left"/>
    </xf>
    <xf numFmtId="3" fontId="13" fillId="0" borderId="36" xfId="0" applyNumberFormat="1" applyFont="1" applyBorder="1" applyAlignment="1">
      <alignment/>
    </xf>
    <xf numFmtId="0" fontId="13" fillId="0" borderId="37" xfId="0" applyFont="1" applyBorder="1" applyAlignment="1">
      <alignment horizontal="left"/>
    </xf>
    <xf numFmtId="3" fontId="13" fillId="0" borderId="23" xfId="0" applyNumberFormat="1" applyFont="1" applyBorder="1" applyAlignment="1">
      <alignment/>
    </xf>
    <xf numFmtId="0" fontId="13" fillId="5" borderId="30" xfId="0" applyFont="1" applyFill="1" applyBorder="1" applyAlignment="1">
      <alignment/>
    </xf>
    <xf numFmtId="0" fontId="13" fillId="5" borderId="0" xfId="0" applyFont="1" applyFill="1" applyAlignment="1">
      <alignment/>
    </xf>
    <xf numFmtId="3" fontId="13" fillId="5" borderId="0" xfId="0" applyNumberFormat="1" applyFont="1" applyFill="1" applyAlignment="1">
      <alignment/>
    </xf>
    <xf numFmtId="0" fontId="13" fillId="5" borderId="33" xfId="0" applyFont="1" applyFill="1" applyBorder="1" applyAlignment="1">
      <alignment/>
    </xf>
    <xf numFmtId="0" fontId="12" fillId="8" borderId="34" xfId="0" applyFont="1" applyFill="1" applyBorder="1" applyAlignment="1">
      <alignment/>
    </xf>
    <xf numFmtId="3" fontId="13" fillId="0" borderId="30" xfId="0" applyNumberFormat="1" applyFont="1" applyBorder="1" applyAlignment="1">
      <alignment/>
    </xf>
    <xf numFmtId="1" fontId="13" fillId="0" borderId="23" xfId="0" applyNumberFormat="1" applyFont="1" applyBorder="1" applyAlignment="1">
      <alignment/>
    </xf>
    <xf numFmtId="0" fontId="0" fillId="0" borderId="0" xfId="0" applyAlignment="1">
      <alignment/>
    </xf>
    <xf numFmtId="0" fontId="8" fillId="4" borderId="0" xfId="0" applyFont="1" applyFill="1" applyBorder="1" applyAlignment="1">
      <alignment/>
    </xf>
    <xf numFmtId="0" fontId="6" fillId="0" borderId="0" xfId="0" applyFont="1" applyAlignment="1">
      <alignment/>
    </xf>
    <xf numFmtId="0" fontId="7" fillId="3" borderId="1" xfId="0" applyFont="1" applyFill="1" applyBorder="1" applyAlignment="1">
      <alignment/>
    </xf>
    <xf numFmtId="0" fontId="7" fillId="3" borderId="3" xfId="0" applyFont="1" applyFill="1" applyBorder="1" applyAlignment="1">
      <alignment/>
    </xf>
    <xf numFmtId="0" fontId="6" fillId="4" borderId="4" xfId="0" applyFont="1" applyFill="1" applyBorder="1" applyAlignment="1">
      <alignment/>
    </xf>
    <xf numFmtId="0" fontId="6" fillId="4" borderId="5" xfId="0" applyFont="1" applyFill="1" applyBorder="1" applyAlignment="1">
      <alignment/>
    </xf>
    <xf numFmtId="0" fontId="7" fillId="3" borderId="4" xfId="0" applyFont="1" applyFill="1" applyBorder="1" applyAlignment="1">
      <alignment/>
    </xf>
    <xf numFmtId="0" fontId="7" fillId="3" borderId="5" xfId="0" applyFont="1" applyFill="1" applyBorder="1" applyAlignment="1">
      <alignment/>
    </xf>
    <xf numFmtId="0" fontId="6" fillId="4" borderId="6" xfId="0" applyFont="1" applyFill="1" applyBorder="1" applyAlignment="1">
      <alignment/>
    </xf>
    <xf numFmtId="0" fontId="6" fillId="4" borderId="8" xfId="0" applyFont="1" applyFill="1" applyBorder="1" applyAlignment="1">
      <alignment/>
    </xf>
    <xf numFmtId="0" fontId="0" fillId="0" borderId="0" xfId="0" applyBorder="1" applyAlignment="1">
      <alignment/>
    </xf>
    <xf numFmtId="0" fontId="6" fillId="0" borderId="2" xfId="0" applyFont="1" applyBorder="1" applyAlignment="1">
      <alignment/>
    </xf>
    <xf numFmtId="0" fontId="6" fillId="0" borderId="3" xfId="0" applyFont="1" applyBorder="1" applyAlignment="1">
      <alignment/>
    </xf>
    <xf numFmtId="0" fontId="6" fillId="0" borderId="0" xfId="0" applyFont="1" applyBorder="1" applyAlignment="1">
      <alignment/>
    </xf>
    <xf numFmtId="0" fontId="6" fillId="0" borderId="5" xfId="0" applyFont="1" applyBorder="1" applyAlignment="1">
      <alignment/>
    </xf>
    <xf numFmtId="0" fontId="6" fillId="0" borderId="7" xfId="0" applyFont="1" applyBorder="1" applyAlignment="1">
      <alignment/>
    </xf>
    <xf numFmtId="0" fontId="6" fillId="0" borderId="8" xfId="0" applyFont="1" applyBorder="1" applyAlignment="1">
      <alignment/>
    </xf>
    <xf numFmtId="196" fontId="13" fillId="7" borderId="38" xfId="0" applyNumberFormat="1" applyFont="1" applyFill="1" applyBorder="1" applyAlignment="1">
      <alignment horizontal="right" vertical="center" wrapText="1"/>
    </xf>
    <xf numFmtId="196" fontId="13" fillId="7" borderId="39" xfId="0" applyNumberFormat="1" applyFont="1" applyFill="1" applyBorder="1" applyAlignment="1">
      <alignment horizontal="right" vertical="center" wrapText="1"/>
    </xf>
    <xf numFmtId="196" fontId="14" fillId="7" borderId="40" xfId="0" applyNumberFormat="1" applyFont="1" applyFill="1" applyBorder="1" applyAlignment="1">
      <alignment horizontal="right" vertical="center" wrapText="1"/>
    </xf>
    <xf numFmtId="0" fontId="0" fillId="6" borderId="0" xfId="0" applyFont="1" applyFill="1" applyBorder="1" applyAlignment="1">
      <alignment vertical="center" wrapText="1"/>
    </xf>
    <xf numFmtId="0" fontId="0" fillId="6" borderId="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25" xfId="0" applyFont="1" applyBorder="1" applyAlignment="1">
      <alignment horizontal="left" wrapText="1"/>
    </xf>
    <xf numFmtId="0" fontId="13" fillId="7" borderId="43" xfId="0" applyFont="1" applyFill="1" applyBorder="1" applyAlignment="1">
      <alignment horizontal="left" wrapText="1"/>
    </xf>
    <xf numFmtId="0" fontId="0" fillId="0" borderId="22" xfId="0" applyFont="1" applyBorder="1" applyAlignment="1">
      <alignment wrapText="1"/>
    </xf>
    <xf numFmtId="0" fontId="0" fillId="0" borderId="44" xfId="0" applyFont="1" applyBorder="1" applyAlignment="1">
      <alignment vertical="center" wrapText="1"/>
    </xf>
    <xf numFmtId="0" fontId="12" fillId="5" borderId="0" xfId="0" applyFont="1" applyFill="1" applyBorder="1" applyAlignment="1">
      <alignment vertical="center" wrapText="1"/>
    </xf>
    <xf numFmtId="0" fontId="12" fillId="5" borderId="45" xfId="0" applyFont="1" applyFill="1" applyBorder="1" applyAlignment="1">
      <alignment vertical="center" wrapText="1"/>
    </xf>
    <xf numFmtId="0" fontId="13" fillId="0" borderId="34" xfId="0" applyFont="1" applyBorder="1" applyAlignment="1" applyProtection="1">
      <alignment/>
      <protection locked="0"/>
    </xf>
    <xf numFmtId="3" fontId="13" fillId="7" borderId="34" xfId="0" applyNumberFormat="1" applyFont="1" applyFill="1" applyBorder="1" applyAlignment="1">
      <alignment/>
    </xf>
    <xf numFmtId="2" fontId="13" fillId="0" borderId="46" xfId="0" applyNumberFormat="1" applyFont="1" applyBorder="1" applyAlignment="1" applyProtection="1">
      <alignment/>
      <protection/>
    </xf>
    <xf numFmtId="0" fontId="13" fillId="0" borderId="34" xfId="0" applyFont="1" applyBorder="1" applyAlignment="1" applyProtection="1">
      <alignment horizontal="right"/>
      <protection locked="0"/>
    </xf>
    <xf numFmtId="0" fontId="13" fillId="0" borderId="46" xfId="0" applyFont="1" applyBorder="1" applyAlignment="1" applyProtection="1">
      <alignment horizontal="right"/>
      <protection locked="0"/>
    </xf>
    <xf numFmtId="0" fontId="0" fillId="0" borderId="34" xfId="0" applyFont="1" applyBorder="1" applyAlignment="1">
      <alignment/>
    </xf>
    <xf numFmtId="0" fontId="11" fillId="0" borderId="0" xfId="0" applyFont="1" applyBorder="1" applyAlignment="1" applyProtection="1">
      <alignment/>
      <protection locked="0"/>
    </xf>
    <xf numFmtId="9" fontId="14" fillId="0" borderId="0" xfId="0" applyNumberFormat="1" applyFont="1" applyBorder="1" applyAlignment="1" applyProtection="1">
      <alignment/>
      <protection locked="0"/>
    </xf>
    <xf numFmtId="0" fontId="0" fillId="8" borderId="0" xfId="0" applyFont="1" applyFill="1" applyBorder="1" applyAlignment="1">
      <alignment/>
    </xf>
    <xf numFmtId="3" fontId="32" fillId="5" borderId="0" xfId="0" applyNumberFormat="1" applyFont="1" applyFill="1" applyBorder="1" applyAlignment="1">
      <alignment/>
    </xf>
    <xf numFmtId="0" fontId="13" fillId="5" borderId="0" xfId="0" applyFont="1" applyFill="1" applyBorder="1" applyAlignment="1">
      <alignment/>
    </xf>
    <xf numFmtId="0" fontId="0" fillId="5" borderId="34" xfId="0" applyFont="1" applyFill="1" applyBorder="1" applyAlignment="1">
      <alignment/>
    </xf>
    <xf numFmtId="0" fontId="12" fillId="8" borderId="2" xfId="0" applyFont="1" applyFill="1" applyBorder="1" applyAlignment="1">
      <alignment horizontal="center"/>
    </xf>
    <xf numFmtId="0" fontId="12" fillId="8" borderId="3" xfId="0" applyFont="1" applyFill="1" applyBorder="1" applyAlignment="1">
      <alignment horizontal="center"/>
    </xf>
    <xf numFmtId="3" fontId="0" fillId="7" borderId="5" xfId="0" applyNumberFormat="1" applyFill="1" applyBorder="1" applyAlignment="1">
      <alignment/>
    </xf>
    <xf numFmtId="3" fontId="32" fillId="5" borderId="5" xfId="0" applyNumberFormat="1" applyFont="1" applyFill="1" applyBorder="1" applyAlignment="1">
      <alignment/>
    </xf>
    <xf numFmtId="0" fontId="0" fillId="8" borderId="5" xfId="0" applyFont="1" applyFill="1" applyBorder="1" applyAlignment="1">
      <alignment/>
    </xf>
    <xf numFmtId="1" fontId="0" fillId="7" borderId="5" xfId="0" applyNumberFormat="1" applyFill="1" applyBorder="1" applyAlignment="1">
      <alignment/>
    </xf>
    <xf numFmtId="3" fontId="12" fillId="8" borderId="5" xfId="0" applyNumberFormat="1" applyFont="1" applyFill="1" applyBorder="1" applyAlignment="1">
      <alignment/>
    </xf>
    <xf numFmtId="0" fontId="0" fillId="5" borderId="7" xfId="0" applyFont="1" applyFill="1" applyBorder="1" applyAlignment="1">
      <alignment/>
    </xf>
    <xf numFmtId="0" fontId="0" fillId="5" borderId="8" xfId="0" applyFont="1" applyFill="1" applyBorder="1" applyAlignment="1">
      <alignment/>
    </xf>
    <xf numFmtId="3" fontId="32" fillId="5" borderId="47" xfId="0" applyNumberFormat="1" applyFont="1" applyFill="1" applyBorder="1" applyAlignment="1">
      <alignment/>
    </xf>
    <xf numFmtId="3" fontId="32" fillId="5" borderId="48" xfId="0" applyNumberFormat="1" applyFont="1" applyFill="1" applyBorder="1" applyAlignment="1">
      <alignment/>
    </xf>
    <xf numFmtId="0" fontId="4" fillId="2" borderId="0" xfId="0" applyFont="1" applyFill="1" applyBorder="1" applyAlignment="1">
      <alignment/>
    </xf>
    <xf numFmtId="0" fontId="4" fillId="2" borderId="34" xfId="0" applyFont="1" applyFill="1" applyBorder="1" applyAlignment="1">
      <alignment/>
    </xf>
    <xf numFmtId="3" fontId="29" fillId="5" borderId="34" xfId="0" applyNumberFormat="1" applyFont="1" applyFill="1" applyBorder="1" applyAlignment="1">
      <alignment/>
    </xf>
    <xf numFmtId="0" fontId="41" fillId="0" borderId="4" xfId="0" applyFont="1" applyBorder="1" applyAlignment="1" applyProtection="1">
      <alignment/>
      <protection locked="0"/>
    </xf>
    <xf numFmtId="0" fontId="41" fillId="0" borderId="0" xfId="0" applyFont="1" applyBorder="1" applyAlignment="1" applyProtection="1">
      <alignment/>
      <protection locked="0"/>
    </xf>
    <xf numFmtId="3" fontId="41" fillId="0" borderId="33" xfId="0" applyNumberFormat="1" applyFont="1" applyBorder="1" applyAlignment="1" applyProtection="1">
      <alignment/>
      <protection locked="0"/>
    </xf>
    <xf numFmtId="3" fontId="41" fillId="0" borderId="0" xfId="0" applyNumberFormat="1" applyFont="1" applyBorder="1" applyAlignment="1" applyProtection="1">
      <alignment/>
      <protection locked="0"/>
    </xf>
    <xf numFmtId="3" fontId="41" fillId="7" borderId="34" xfId="0" applyNumberFormat="1" applyFont="1" applyFill="1" applyBorder="1" applyAlignment="1">
      <alignment/>
    </xf>
    <xf numFmtId="0" fontId="42" fillId="0" borderId="0" xfId="0" applyFont="1" applyAlignment="1">
      <alignment/>
    </xf>
    <xf numFmtId="3" fontId="42" fillId="7" borderId="35" xfId="0" applyNumberFormat="1" applyFont="1" applyFill="1" applyBorder="1" applyAlignment="1">
      <alignment/>
    </xf>
    <xf numFmtId="3" fontId="42" fillId="0" borderId="0" xfId="0" applyNumberFormat="1" applyFont="1" applyAlignment="1">
      <alignment/>
    </xf>
    <xf numFmtId="0" fontId="42" fillId="0" borderId="34" xfId="0" applyFont="1" applyBorder="1" applyAlignment="1">
      <alignment/>
    </xf>
    <xf numFmtId="3" fontId="41" fillId="7" borderId="35" xfId="0" applyNumberFormat="1" applyFont="1" applyFill="1" applyBorder="1" applyAlignment="1" applyProtection="1">
      <alignment/>
      <protection/>
    </xf>
    <xf numFmtId="3" fontId="43" fillId="0" borderId="0" xfId="0" applyNumberFormat="1" applyFont="1" applyBorder="1" applyAlignment="1" applyProtection="1">
      <alignment/>
      <protection locked="0"/>
    </xf>
    <xf numFmtId="0" fontId="50" fillId="0" borderId="0" xfId="0" applyFont="1" applyAlignment="1">
      <alignment/>
    </xf>
    <xf numFmtId="3" fontId="49" fillId="3" borderId="6" xfId="0" applyNumberFormat="1" applyFont="1" applyFill="1" applyBorder="1" applyAlignment="1">
      <alignment/>
    </xf>
    <xf numFmtId="3" fontId="49" fillId="3" borderId="7" xfId="0" applyNumberFormat="1" applyFont="1" applyFill="1" applyBorder="1" applyAlignment="1">
      <alignment/>
    </xf>
    <xf numFmtId="3" fontId="49" fillId="3" borderId="49" xfId="0" applyNumberFormat="1" applyFont="1" applyFill="1" applyBorder="1" applyAlignment="1">
      <alignment/>
    </xf>
    <xf numFmtId="3" fontId="49" fillId="3" borderId="50" xfId="0" applyNumberFormat="1" applyFont="1" applyFill="1" applyBorder="1" applyAlignment="1">
      <alignment/>
    </xf>
    <xf numFmtId="0" fontId="50" fillId="3" borderId="0" xfId="0" applyFont="1" applyFill="1" applyAlignment="1">
      <alignment/>
    </xf>
    <xf numFmtId="3" fontId="49" fillId="3" borderId="51" xfId="0" applyNumberFormat="1" applyFont="1" applyFill="1" applyBorder="1" applyAlignment="1">
      <alignment/>
    </xf>
    <xf numFmtId="3" fontId="50" fillId="3" borderId="0" xfId="0" applyNumberFormat="1" applyFont="1" applyFill="1" applyAlignment="1">
      <alignment/>
    </xf>
    <xf numFmtId="3" fontId="49" fillId="3" borderId="35" xfId="0" applyNumberFormat="1" applyFont="1" applyFill="1" applyBorder="1" applyAlignment="1">
      <alignment/>
    </xf>
    <xf numFmtId="3" fontId="43" fillId="5" borderId="1" xfId="0" applyNumberFormat="1" applyFont="1" applyFill="1" applyBorder="1" applyAlignment="1">
      <alignment/>
    </xf>
    <xf numFmtId="3" fontId="43" fillId="5" borderId="2" xfId="0" applyNumberFormat="1" applyFont="1" applyFill="1" applyBorder="1" applyAlignment="1">
      <alignment/>
    </xf>
    <xf numFmtId="3" fontId="43" fillId="5" borderId="52" xfId="0" applyNumberFormat="1" applyFont="1" applyFill="1" applyBorder="1" applyAlignment="1">
      <alignment/>
    </xf>
    <xf numFmtId="3" fontId="43" fillId="5" borderId="53" xfId="0" applyNumberFormat="1" applyFont="1" applyFill="1" applyBorder="1" applyAlignment="1">
      <alignment/>
    </xf>
    <xf numFmtId="3" fontId="43" fillId="5" borderId="54" xfId="0" applyNumberFormat="1" applyFont="1" applyFill="1" applyBorder="1" applyAlignment="1">
      <alignment/>
    </xf>
    <xf numFmtId="0" fontId="42" fillId="8" borderId="0" xfId="0" applyFont="1" applyFill="1" applyAlignment="1">
      <alignment/>
    </xf>
    <xf numFmtId="0" fontId="51" fillId="5" borderId="0" xfId="0" applyFont="1" applyFill="1" applyBorder="1" applyAlignment="1">
      <alignment/>
    </xf>
    <xf numFmtId="3" fontId="51" fillId="5" borderId="33" xfId="0" applyNumberFormat="1" applyFont="1" applyFill="1" applyBorder="1" applyAlignment="1">
      <alignment/>
    </xf>
    <xf numFmtId="3" fontId="51" fillId="5" borderId="0" xfId="0" applyNumberFormat="1" applyFont="1" applyFill="1" applyBorder="1" applyAlignment="1">
      <alignment/>
    </xf>
    <xf numFmtId="0" fontId="42" fillId="0" borderId="35" xfId="0" applyFont="1" applyBorder="1" applyAlignment="1">
      <alignment/>
    </xf>
    <xf numFmtId="3" fontId="43" fillId="5" borderId="35" xfId="0" applyNumberFormat="1" applyFont="1" applyFill="1" applyBorder="1" applyAlignment="1">
      <alignment/>
    </xf>
    <xf numFmtId="0" fontId="42" fillId="5" borderId="4" xfId="0" applyFont="1" applyFill="1" applyBorder="1" applyAlignment="1">
      <alignment/>
    </xf>
    <xf numFmtId="0" fontId="26" fillId="5" borderId="38" xfId="0" applyFont="1" applyFill="1" applyBorder="1" applyAlignment="1">
      <alignment horizontal="center" vertical="center"/>
    </xf>
    <xf numFmtId="0" fontId="26" fillId="5" borderId="55" xfId="0" applyFont="1" applyFill="1" applyBorder="1" applyAlignment="1">
      <alignment horizontal="center" vertical="center"/>
    </xf>
    <xf numFmtId="196" fontId="3" fillId="0" borderId="38" xfId="0" applyNumberFormat="1" applyFont="1" applyFill="1" applyBorder="1" applyAlignment="1">
      <alignment horizontal="center" vertical="center"/>
    </xf>
    <xf numFmtId="196" fontId="3" fillId="0" borderId="55" xfId="0" applyNumberFormat="1" applyFont="1" applyFill="1" applyBorder="1" applyAlignment="1">
      <alignment horizontal="center" vertical="center"/>
    </xf>
    <xf numFmtId="2" fontId="14" fillId="7" borderId="38" xfId="0" applyNumberFormat="1" applyFont="1" applyFill="1" applyBorder="1" applyAlignment="1">
      <alignment horizontal="center" vertical="center" wrapText="1"/>
    </xf>
    <xf numFmtId="2" fontId="14" fillId="7" borderId="55" xfId="0" applyNumberFormat="1" applyFont="1" applyFill="1" applyBorder="1" applyAlignment="1">
      <alignment horizontal="center" vertical="center"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9" fontId="14" fillId="7" borderId="38" xfId="0" applyNumberFormat="1" applyFont="1" applyFill="1" applyBorder="1" applyAlignment="1">
      <alignment horizontal="center" vertical="center" wrapText="1"/>
    </xf>
    <xf numFmtId="9" fontId="14" fillId="7" borderId="55" xfId="0" applyNumberFormat="1" applyFont="1" applyFill="1" applyBorder="1" applyAlignment="1">
      <alignment horizontal="center" vertical="center" wrapText="1"/>
    </xf>
    <xf numFmtId="195" fontId="3" fillId="0" borderId="38" xfId="0" applyNumberFormat="1" applyFont="1" applyFill="1" applyBorder="1" applyAlignment="1">
      <alignment horizontal="center" vertical="center"/>
    </xf>
    <xf numFmtId="195" fontId="3" fillId="0" borderId="55" xfId="0" applyNumberFormat="1" applyFont="1" applyFill="1" applyBorder="1" applyAlignment="1">
      <alignment horizontal="center" vertical="center"/>
    </xf>
    <xf numFmtId="196" fontId="3" fillId="7" borderId="38" xfId="0" applyNumberFormat="1" applyFont="1" applyFill="1" applyBorder="1" applyAlignment="1">
      <alignment horizontal="center" vertical="center"/>
    </xf>
    <xf numFmtId="196" fontId="3" fillId="7" borderId="55" xfId="0" applyNumberFormat="1" applyFont="1" applyFill="1" applyBorder="1" applyAlignment="1">
      <alignment horizontal="center" vertical="center"/>
    </xf>
    <xf numFmtId="0" fontId="0" fillId="0" borderId="2" xfId="0" applyFont="1" applyBorder="1" applyAlignment="1">
      <alignment horizontal="left" vertical="center" wrapText="1" readingOrder="1"/>
    </xf>
    <xf numFmtId="0" fontId="0" fillId="0" borderId="3" xfId="0" applyFont="1" applyBorder="1" applyAlignment="1">
      <alignment horizontal="left" vertical="center" wrapText="1" readingOrder="1"/>
    </xf>
    <xf numFmtId="0" fontId="0" fillId="0" borderId="0" xfId="0" applyFont="1" applyBorder="1" applyAlignment="1">
      <alignment horizontal="left" vertical="center" wrapText="1" readingOrder="1"/>
    </xf>
    <xf numFmtId="0" fontId="0" fillId="0" borderId="5" xfId="0" applyFont="1" applyBorder="1" applyAlignment="1">
      <alignment horizontal="left" vertical="center" wrapText="1" readingOrder="1"/>
    </xf>
    <xf numFmtId="0" fontId="0" fillId="0" borderId="7" xfId="0" applyFont="1" applyBorder="1" applyAlignment="1">
      <alignment horizontal="left" vertical="center" wrapText="1" readingOrder="1"/>
    </xf>
    <xf numFmtId="0" fontId="0" fillId="0" borderId="8" xfId="0" applyFont="1" applyBorder="1" applyAlignment="1">
      <alignment horizontal="left" vertical="center" wrapText="1" readingOrder="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59" xfId="0" applyFont="1" applyBorder="1" applyAlignment="1">
      <alignment horizontal="left" vertical="center" wrapText="1"/>
    </xf>
    <xf numFmtId="196" fontId="3" fillId="0" borderId="60" xfId="0" applyNumberFormat="1" applyFont="1" applyFill="1" applyBorder="1" applyAlignment="1">
      <alignment horizontal="center" vertical="center"/>
    </xf>
    <xf numFmtId="9" fontId="14" fillId="7" borderId="60" xfId="0" applyNumberFormat="1" applyFont="1" applyFill="1" applyBorder="1" applyAlignment="1">
      <alignment horizontal="center" vertical="center" wrapText="1"/>
    </xf>
    <xf numFmtId="2" fontId="14" fillId="7" borderId="60" xfId="0" applyNumberFormat="1" applyFont="1" applyFill="1" applyBorder="1" applyAlignment="1">
      <alignment horizontal="center" vertical="center" wrapText="1"/>
    </xf>
    <xf numFmtId="0" fontId="26" fillId="5" borderId="60" xfId="0" applyFont="1" applyFill="1" applyBorder="1" applyAlignment="1">
      <alignment horizontal="center" vertical="center"/>
    </xf>
    <xf numFmtId="195" fontId="3" fillId="0" borderId="60" xfId="0" applyNumberFormat="1" applyFont="1" applyFill="1" applyBorder="1" applyAlignment="1">
      <alignment horizontal="center" vertical="center"/>
    </xf>
    <xf numFmtId="196" fontId="3" fillId="7" borderId="60" xfId="0" applyNumberFormat="1" applyFont="1" applyFill="1" applyBorder="1" applyAlignment="1">
      <alignment horizontal="center" vertical="center"/>
    </xf>
    <xf numFmtId="0" fontId="52" fillId="9" borderId="0" xfId="0" applyFont="1" applyFill="1" applyBorder="1" applyAlignment="1">
      <alignment horizontal="center"/>
    </xf>
    <xf numFmtId="0" fontId="52" fillId="9" borderId="34" xfId="0" applyFont="1" applyFill="1" applyBorder="1" applyAlignment="1">
      <alignment horizontal="center"/>
    </xf>
    <xf numFmtId="0" fontId="13" fillId="0" borderId="29" xfId="0" applyFont="1" applyBorder="1" applyAlignment="1">
      <alignment horizontal="left"/>
    </xf>
    <xf numFmtId="0" fontId="13" fillId="0" borderId="30" xfId="0" applyFont="1" applyBorder="1" applyAlignment="1">
      <alignment horizontal="left"/>
    </xf>
    <xf numFmtId="0" fontId="13" fillId="0" borderId="31" xfId="0" applyFont="1" applyBorder="1" applyAlignment="1">
      <alignment horizontal="left"/>
    </xf>
    <xf numFmtId="0" fontId="13" fillId="0" borderId="33" xfId="0" applyFont="1" applyBorder="1" applyAlignment="1">
      <alignment horizontal="left"/>
    </xf>
    <xf numFmtId="0" fontId="13" fillId="0" borderId="0" xfId="0" applyFont="1" applyBorder="1" applyAlignment="1">
      <alignment horizontal="left"/>
    </xf>
    <xf numFmtId="0" fontId="13" fillId="0" borderId="34" xfId="0" applyFont="1" applyBorder="1" applyAlignment="1">
      <alignment horizontal="left"/>
    </xf>
    <xf numFmtId="0" fontId="13" fillId="0" borderId="37" xfId="0" applyFont="1" applyBorder="1" applyAlignment="1">
      <alignment horizontal="left"/>
    </xf>
    <xf numFmtId="0" fontId="13" fillId="0" borderId="23" xfId="0" applyFont="1" applyBorder="1" applyAlignment="1">
      <alignment horizontal="left"/>
    </xf>
    <xf numFmtId="0" fontId="13" fillId="0" borderId="36" xfId="0" applyFont="1" applyBorder="1" applyAlignment="1">
      <alignment horizontal="left"/>
    </xf>
    <xf numFmtId="0" fontId="13" fillId="0" borderId="0" xfId="0" applyFont="1" applyBorder="1" applyAlignment="1" applyProtection="1">
      <alignment horizontal="left"/>
      <protection locked="0"/>
    </xf>
    <xf numFmtId="0" fontId="13" fillId="0" borderId="34" xfId="0" applyFont="1" applyBorder="1" applyAlignment="1" applyProtection="1">
      <alignment horizontal="left"/>
      <protection locked="0"/>
    </xf>
    <xf numFmtId="3" fontId="32" fillId="5" borderId="0" xfId="0" applyNumberFormat="1" applyFont="1" applyFill="1" applyBorder="1" applyAlignment="1">
      <alignment horizontal="left"/>
    </xf>
    <xf numFmtId="3" fontId="32" fillId="5" borderId="34" xfId="0" applyNumberFormat="1" applyFont="1" applyFill="1" applyBorder="1" applyAlignment="1">
      <alignment horizontal="left"/>
    </xf>
    <xf numFmtId="0" fontId="0" fillId="8" borderId="0" xfId="0" applyFont="1" applyFill="1" applyBorder="1" applyAlignment="1">
      <alignment horizontal="left"/>
    </xf>
    <xf numFmtId="0" fontId="0" fillId="8" borderId="34" xfId="0" applyFont="1" applyFill="1" applyBorder="1" applyAlignment="1">
      <alignment horizontal="left"/>
    </xf>
    <xf numFmtId="0" fontId="12" fillId="8" borderId="0" xfId="0" applyFont="1" applyFill="1" applyBorder="1" applyAlignment="1">
      <alignment horizontal="left"/>
    </xf>
    <xf numFmtId="0" fontId="12" fillId="8" borderId="34" xfId="0" applyFont="1" applyFill="1" applyBorder="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Sensitivity Analysis</a:t>
            </a:r>
          </a:p>
        </c:rich>
      </c:tx>
      <c:layout/>
      <c:spPr>
        <a:noFill/>
        <a:ln>
          <a:noFill/>
        </a:ln>
      </c:spPr>
    </c:title>
    <c:plotArea>
      <c:layout/>
      <c:lineChart>
        <c:grouping val="standard"/>
        <c:varyColors val="0"/>
        <c:ser>
          <c:idx val="0"/>
          <c:order val="0"/>
          <c:tx>
            <c:strRef>
              <c:f>#REF!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38100">
              <a:solidFill>
                <a:srgbClr val="FFFF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3"/>
          <c:order val="3"/>
          <c:tx>
            <c:strRef>
              <c:f>#REF!</c:f>
              <c:strCache>
                <c:ptCount val="1"/>
                <c:pt idx="0">
                  <c:v>#REF!</c:v>
                </c:pt>
              </c:strCache>
            </c:strRef>
          </c:tx>
          <c:spPr>
            <a:ln w="38100">
              <a:solidFill>
                <a:srgbClr val="00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4"/>
          <c:order val="4"/>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5"/>
          <c:order val="5"/>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6"/>
          <c:order val="6"/>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50019234"/>
        <c:axId val="47519923"/>
      </c:lineChart>
      <c:catAx>
        <c:axId val="50019234"/>
        <c:scaling>
          <c:orientation val="minMax"/>
        </c:scaling>
        <c:axPos val="b"/>
        <c:title>
          <c:tx>
            <c:rich>
              <a:bodyPr vert="horz" rot="0" anchor="ctr"/>
              <a:lstStyle/>
              <a:p>
                <a:pPr algn="ctr">
                  <a:defRPr/>
                </a:pPr>
                <a:r>
                  <a:rPr lang="en-US" cap="none" sz="200" b="1" i="0" u="none" baseline="0">
                    <a:latin typeface="Arial"/>
                    <a:ea typeface="Arial"/>
                    <a:cs typeface="Arial"/>
                  </a:rPr>
                  <a:t>Percentage change of Parameter</a:t>
                </a:r>
              </a:p>
            </c:rich>
          </c:tx>
          <c:layout/>
          <c:overlay val="0"/>
          <c:spPr>
            <a:noFill/>
            <a:ln>
              <a:noFill/>
            </a:ln>
          </c:spPr>
        </c:title>
        <c:delete val="0"/>
        <c:numFmt formatCode="General" sourceLinked="1"/>
        <c:majorTickMark val="out"/>
        <c:minorTickMark val="none"/>
        <c:tickLblPos val="nextTo"/>
        <c:crossAx val="47519923"/>
        <c:crosses val="autoZero"/>
        <c:auto val="1"/>
        <c:lblOffset val="100"/>
        <c:noMultiLvlLbl val="0"/>
      </c:catAx>
      <c:valAx>
        <c:axId val="47519923"/>
        <c:scaling>
          <c:orientation val="minMax"/>
        </c:scaling>
        <c:axPos val="l"/>
        <c:title>
          <c:tx>
            <c:rich>
              <a:bodyPr vert="horz" rot="-5400000" anchor="ctr"/>
              <a:lstStyle/>
              <a:p>
                <a:pPr algn="ctr">
                  <a:defRPr/>
                </a:pPr>
                <a:r>
                  <a:rPr lang="en-US" cap="none" sz="225" b="1" i="0" u="none" baseline="0">
                    <a:latin typeface="Arial"/>
                    <a:ea typeface="Arial"/>
                    <a:cs typeface="Arial"/>
                  </a:rPr>
                  <a:t>Percentage change of ROI</a:t>
                </a:r>
              </a:p>
            </c:rich>
          </c:tx>
          <c:layout/>
          <c:overlay val="0"/>
          <c:spPr>
            <a:noFill/>
            <a:ln>
              <a:noFill/>
            </a:ln>
          </c:spPr>
        </c:title>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019234"/>
        <c:crossesAt val="1"/>
        <c:crossBetween val="between"/>
        <c:dispUnits/>
      </c:valAx>
      <c:spPr>
        <a:gradFill rotWithShape="1">
          <a:gsLst>
            <a:gs pos="0">
              <a:srgbClr val="BEDEDE"/>
            </a:gs>
            <a:gs pos="50000">
              <a:srgbClr val="008080"/>
            </a:gs>
            <a:gs pos="100000">
              <a:srgbClr val="BEDEDE"/>
            </a:gs>
          </a:gsLst>
          <a:lin ang="0" scaled="1"/>
        </a:gradFill>
        <a:ln w="12700">
          <a:solidFill>
            <a:srgbClr val="008080"/>
          </a:solidFill>
        </a:ln>
      </c:spPr>
    </c:plotArea>
    <c:legend>
      <c:legendPos val="r"/>
      <c:layout/>
      <c:overlay val="0"/>
      <c:spPr>
        <a:solidFill>
          <a:srgbClr val="CCFFCC"/>
        </a:solidFill>
      </c:spPr>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Sensitivity Analysis</a:t>
            </a:r>
          </a:p>
        </c:rich>
      </c:tx>
      <c:layout>
        <c:manualLayout>
          <c:xMode val="factor"/>
          <c:yMode val="factor"/>
          <c:x val="0"/>
          <c:y val="-0.02"/>
        </c:manualLayout>
      </c:layout>
      <c:spPr>
        <a:noFill/>
        <a:ln>
          <a:noFill/>
        </a:ln>
      </c:spPr>
    </c:title>
    <c:plotArea>
      <c:layout>
        <c:manualLayout>
          <c:xMode val="edge"/>
          <c:yMode val="edge"/>
          <c:x val="0.033"/>
          <c:y val="0.0435"/>
          <c:w val="0.59525"/>
          <c:h val="0.936"/>
        </c:manualLayout>
      </c:layout>
      <c:lineChart>
        <c:grouping val="standard"/>
        <c:varyColors val="0"/>
        <c:ser>
          <c:idx val="0"/>
          <c:order val="0"/>
          <c:tx>
            <c:strRef>
              <c:f>Assess!$Q$41</c:f>
              <c:strCache>
                <c:ptCount val="1"/>
                <c:pt idx="0">
                  <c:v>Capital Investment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c:v>
                </c:pt>
                <c:pt idx="1">
                  <c:v>0</c:v>
                </c:pt>
                <c:pt idx="2">
                  <c:v>0</c:v>
                </c:pt>
                <c:pt idx="3">
                  <c:v>0</c:v>
                </c:pt>
                <c:pt idx="4">
                  <c:v>0</c:v>
                </c:pt>
              </c:numCache>
            </c:numRef>
          </c:cat>
          <c:val>
            <c:numRef>
              <c:f>Assess!$Q$47:$Q$51</c:f>
              <c:numCache>
                <c:ptCount val="5"/>
                <c:pt idx="0">
                  <c:v>0</c:v>
                </c:pt>
                <c:pt idx="1">
                  <c:v>0</c:v>
                </c:pt>
                <c:pt idx="2">
                  <c:v>0</c:v>
                </c:pt>
                <c:pt idx="3">
                  <c:v>0</c:v>
                </c:pt>
                <c:pt idx="4">
                  <c:v>0</c:v>
                </c:pt>
              </c:numCache>
            </c:numRef>
          </c:val>
          <c:smooth val="1"/>
        </c:ser>
        <c:ser>
          <c:idx val="1"/>
          <c:order val="1"/>
          <c:tx>
            <c:strRef>
              <c:f>Assess!$R$41</c:f>
              <c:strCache>
                <c:ptCount val="1"/>
                <c:pt idx="0">
                  <c:v>Investment Lifespan</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c:v>
                </c:pt>
                <c:pt idx="1">
                  <c:v>0</c:v>
                </c:pt>
                <c:pt idx="2">
                  <c:v>0</c:v>
                </c:pt>
                <c:pt idx="3">
                  <c:v>0</c:v>
                </c:pt>
                <c:pt idx="4">
                  <c:v>0</c:v>
                </c:pt>
              </c:numCache>
            </c:numRef>
          </c:cat>
          <c:val>
            <c:numRef>
              <c:f>Assess!$R$47:$R$51</c:f>
              <c:numCache>
                <c:ptCount val="5"/>
                <c:pt idx="0">
                  <c:v>0</c:v>
                </c:pt>
                <c:pt idx="1">
                  <c:v>0</c:v>
                </c:pt>
                <c:pt idx="2">
                  <c:v>0</c:v>
                </c:pt>
                <c:pt idx="3">
                  <c:v>0</c:v>
                </c:pt>
                <c:pt idx="4">
                  <c:v>0</c:v>
                </c:pt>
              </c:numCache>
            </c:numRef>
          </c:val>
          <c:smooth val="0"/>
        </c:ser>
        <c:ser>
          <c:idx val="2"/>
          <c:order val="2"/>
          <c:tx>
            <c:strRef>
              <c:f>Assess!$S$41</c:f>
              <c:strCache>
                <c:ptCount val="1"/>
                <c:pt idx="0">
                  <c:v>Units/annum</c:v>
                </c:pt>
              </c:strCache>
            </c:strRef>
          </c:tx>
          <c:spPr>
            <a:ln w="38100">
              <a:solidFill>
                <a:srgbClr val="FFFF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FFFF00"/>
                </a:solidFill>
              </a:ln>
              <a:effectLst>
                <a:outerShdw dist="35921" dir="2700000" algn="br">
                  <a:prstClr val="black"/>
                </a:outerShdw>
              </a:effectLst>
            </c:spPr>
          </c:marker>
          <c:cat>
            <c:numRef>
              <c:f>Assess!$P$47:$P$51</c:f>
              <c:numCache>
                <c:ptCount val="5"/>
                <c:pt idx="0">
                  <c:v>0</c:v>
                </c:pt>
                <c:pt idx="1">
                  <c:v>0</c:v>
                </c:pt>
                <c:pt idx="2">
                  <c:v>0</c:v>
                </c:pt>
                <c:pt idx="3">
                  <c:v>0</c:v>
                </c:pt>
                <c:pt idx="4">
                  <c:v>0</c:v>
                </c:pt>
              </c:numCache>
            </c:numRef>
          </c:cat>
          <c:val>
            <c:numRef>
              <c:f>Assess!$S$47:$S$51</c:f>
              <c:numCache>
                <c:ptCount val="5"/>
                <c:pt idx="0">
                  <c:v>0</c:v>
                </c:pt>
                <c:pt idx="1">
                  <c:v>0</c:v>
                </c:pt>
                <c:pt idx="2">
                  <c:v>0</c:v>
                </c:pt>
                <c:pt idx="3">
                  <c:v>0</c:v>
                </c:pt>
                <c:pt idx="4">
                  <c:v>0</c:v>
                </c:pt>
              </c:numCache>
            </c:numRef>
          </c:val>
          <c:smooth val="0"/>
        </c:ser>
        <c:ser>
          <c:idx val="3"/>
          <c:order val="3"/>
          <c:tx>
            <c:strRef>
              <c:f>Assess!$T$41</c:f>
              <c:strCache>
                <c:ptCount val="1"/>
                <c:pt idx="0">
                  <c:v>Price/unit</c:v>
                </c:pt>
              </c:strCache>
            </c:strRef>
          </c:tx>
          <c:spPr>
            <a:ln w="38100">
              <a:solidFill>
                <a:srgbClr val="00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x"/>
            <c:size val="11"/>
            <c:spPr>
              <a:noFill/>
              <a:ln>
                <a:solidFill>
                  <a:srgbClr val="00FFFF"/>
                </a:solidFill>
              </a:ln>
              <a:effectLst>
                <a:outerShdw dist="35921" dir="2700000" algn="br">
                  <a:prstClr val="black"/>
                </a:outerShdw>
              </a:effectLst>
            </c:spPr>
          </c:marker>
          <c:cat>
            <c:numRef>
              <c:f>Assess!$P$47:$P$51</c:f>
              <c:numCache>
                <c:ptCount val="5"/>
                <c:pt idx="0">
                  <c:v>0</c:v>
                </c:pt>
                <c:pt idx="1">
                  <c:v>0</c:v>
                </c:pt>
                <c:pt idx="2">
                  <c:v>0</c:v>
                </c:pt>
                <c:pt idx="3">
                  <c:v>0</c:v>
                </c:pt>
                <c:pt idx="4">
                  <c:v>0</c:v>
                </c:pt>
              </c:numCache>
            </c:numRef>
          </c:cat>
          <c:val>
            <c:numRef>
              <c:f>Assess!$T$47:$T$51</c:f>
              <c:numCache>
                <c:ptCount val="5"/>
                <c:pt idx="0">
                  <c:v>0</c:v>
                </c:pt>
                <c:pt idx="1">
                  <c:v>0</c:v>
                </c:pt>
                <c:pt idx="2">
                  <c:v>0</c:v>
                </c:pt>
                <c:pt idx="3">
                  <c:v>0</c:v>
                </c:pt>
                <c:pt idx="4">
                  <c:v>0</c:v>
                </c:pt>
              </c:numCache>
            </c:numRef>
          </c:val>
          <c:smooth val="0"/>
        </c:ser>
        <c:ser>
          <c:idx val="4"/>
          <c:order val="4"/>
          <c:tx>
            <c:strRef>
              <c:f>Assess!$U$41</c:f>
              <c:strCache>
                <c:ptCount val="1"/>
                <c:pt idx="0">
                  <c:v>Variable cost of sale/unit</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c:v>
                </c:pt>
                <c:pt idx="1">
                  <c:v>0</c:v>
                </c:pt>
                <c:pt idx="2">
                  <c:v>0</c:v>
                </c:pt>
                <c:pt idx="3">
                  <c:v>0</c:v>
                </c:pt>
                <c:pt idx="4">
                  <c:v>0</c:v>
                </c:pt>
              </c:numCache>
            </c:numRef>
          </c:cat>
          <c:val>
            <c:numRef>
              <c:f>Assess!$U$47:$U$51</c:f>
              <c:numCache>
                <c:ptCount val="5"/>
                <c:pt idx="0">
                  <c:v>0</c:v>
                </c:pt>
                <c:pt idx="1">
                  <c:v>0</c:v>
                </c:pt>
                <c:pt idx="2">
                  <c:v>0</c:v>
                </c:pt>
                <c:pt idx="3">
                  <c:v>0</c:v>
                </c:pt>
                <c:pt idx="4">
                  <c:v>0</c:v>
                </c:pt>
              </c:numCache>
            </c:numRef>
          </c:val>
          <c:smooth val="0"/>
        </c:ser>
        <c:ser>
          <c:idx val="5"/>
          <c:order val="5"/>
          <c:tx>
            <c:strRef>
              <c:f>Assess!$V$41</c:f>
              <c:strCache>
                <c:ptCount val="1"/>
                <c:pt idx="0">
                  <c:v>Cost of energy/unit</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c:v>
                </c:pt>
                <c:pt idx="1">
                  <c:v>0</c:v>
                </c:pt>
                <c:pt idx="2">
                  <c:v>0</c:v>
                </c:pt>
                <c:pt idx="3">
                  <c:v>0</c:v>
                </c:pt>
                <c:pt idx="4">
                  <c:v>0</c:v>
                </c:pt>
              </c:numCache>
            </c:numRef>
          </c:cat>
          <c:val>
            <c:numRef>
              <c:f>Assess!$V$47:$V$51</c:f>
              <c:numCache>
                <c:ptCount val="5"/>
                <c:pt idx="0">
                  <c:v>0</c:v>
                </c:pt>
                <c:pt idx="1">
                  <c:v>0</c:v>
                </c:pt>
                <c:pt idx="2">
                  <c:v>0</c:v>
                </c:pt>
                <c:pt idx="3">
                  <c:v>0</c:v>
                </c:pt>
                <c:pt idx="4">
                  <c:v>0</c:v>
                </c:pt>
              </c:numCache>
            </c:numRef>
          </c:val>
          <c:smooth val="0"/>
        </c:ser>
        <c:ser>
          <c:idx val="6"/>
          <c:order val="6"/>
          <c:tx>
            <c:strRef>
              <c:f>Assess!$W$41</c:f>
              <c:strCache>
                <c:ptCount val="1"/>
                <c:pt idx="0">
                  <c:v>total fixed costs</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c:v>
                </c:pt>
                <c:pt idx="1">
                  <c:v>0</c:v>
                </c:pt>
                <c:pt idx="2">
                  <c:v>0</c:v>
                </c:pt>
                <c:pt idx="3">
                  <c:v>0</c:v>
                </c:pt>
                <c:pt idx="4">
                  <c:v>0</c:v>
                </c:pt>
              </c:numCache>
            </c:numRef>
          </c:cat>
          <c:val>
            <c:numRef>
              <c:f>Assess!$W$47:$W$51</c:f>
              <c:numCache>
                <c:ptCount val="5"/>
                <c:pt idx="0">
                  <c:v>0</c:v>
                </c:pt>
                <c:pt idx="1">
                  <c:v>0</c:v>
                </c:pt>
                <c:pt idx="2">
                  <c:v>0</c:v>
                </c:pt>
                <c:pt idx="3">
                  <c:v>0</c:v>
                </c:pt>
                <c:pt idx="4">
                  <c:v>0</c:v>
                </c:pt>
              </c:numCache>
            </c:numRef>
          </c:val>
          <c:smooth val="0"/>
        </c:ser>
        <c:marker val="1"/>
        <c:axId val="25026124"/>
        <c:axId val="23908525"/>
      </c:lineChart>
      <c:catAx>
        <c:axId val="25026124"/>
        <c:scaling>
          <c:orientation val="minMax"/>
        </c:scaling>
        <c:axPos val="b"/>
        <c:title>
          <c:tx>
            <c:rich>
              <a:bodyPr vert="horz" rot="0" anchor="ctr"/>
              <a:lstStyle/>
              <a:p>
                <a:pPr algn="ctr">
                  <a:defRPr/>
                </a:pPr>
                <a:r>
                  <a:rPr lang="en-US" cap="none" sz="1275" b="1" i="0" u="none" baseline="0">
                    <a:latin typeface="Arial"/>
                    <a:ea typeface="Arial"/>
                    <a:cs typeface="Arial"/>
                  </a:rPr>
                  <a:t>percentage change of parameter</a:t>
                </a:r>
              </a:p>
            </c:rich>
          </c:tx>
          <c:layout/>
          <c:overlay val="0"/>
          <c:spPr>
            <a:noFill/>
            <a:ln>
              <a:noFill/>
            </a:ln>
          </c:spPr>
        </c:title>
        <c:delete val="0"/>
        <c:numFmt formatCode="General" sourceLinked="1"/>
        <c:majorTickMark val="out"/>
        <c:minorTickMark val="none"/>
        <c:tickLblPos val="nextTo"/>
        <c:crossAx val="23908525"/>
        <c:crosses val="autoZero"/>
        <c:auto val="1"/>
        <c:lblOffset val="100"/>
        <c:noMultiLvlLbl val="0"/>
      </c:catAx>
      <c:valAx>
        <c:axId val="23908525"/>
        <c:scaling>
          <c:orientation val="minMax"/>
        </c:scaling>
        <c:axPos val="l"/>
        <c:title>
          <c:tx>
            <c:rich>
              <a:bodyPr vert="horz" rot="-5400000" anchor="ctr"/>
              <a:lstStyle/>
              <a:p>
                <a:pPr algn="ctr">
                  <a:defRPr/>
                </a:pPr>
                <a:r>
                  <a:rPr lang="en-US" cap="none" sz="1275" b="1" i="0" u="none" baseline="0">
                    <a:latin typeface="Arial"/>
                    <a:ea typeface="Arial"/>
                    <a:cs typeface="Arial"/>
                  </a:rPr>
                  <a:t>percentage change of ROI</a:t>
                </a:r>
              </a:p>
            </c:rich>
          </c:tx>
          <c:layout>
            <c:manualLayout>
              <c:xMode val="factor"/>
              <c:yMode val="factor"/>
              <c:x val="-0.0055"/>
              <c:y val="0.002"/>
            </c:manualLayout>
          </c:layout>
          <c:overlay val="0"/>
          <c:spPr>
            <a:noFill/>
            <a:ln>
              <a:noFill/>
            </a:ln>
          </c:spPr>
        </c:title>
        <c:majorGridlines/>
        <c:delete val="0"/>
        <c:numFmt formatCode="0%" sourceLinked="0"/>
        <c:majorTickMark val="out"/>
        <c:minorTickMark val="none"/>
        <c:tickLblPos val="nextTo"/>
        <c:crossAx val="25026124"/>
        <c:crossesAt val="1"/>
        <c:crossBetween val="between"/>
        <c:dispUnits/>
      </c:valAx>
      <c:spPr>
        <a:gradFill rotWithShape="1">
          <a:gsLst>
            <a:gs pos="0">
              <a:srgbClr val="E5F8F8"/>
            </a:gs>
            <a:gs pos="50000">
              <a:srgbClr val="33CCCC"/>
            </a:gs>
            <a:gs pos="100000">
              <a:srgbClr val="E5F8F8"/>
            </a:gs>
          </a:gsLst>
          <a:lin ang="0" scaled="1"/>
        </a:gradFill>
        <a:ln w="38100">
          <a:solidFill>
            <a:srgbClr val="333399"/>
          </a:solidFill>
        </a:ln>
      </c:spPr>
    </c:plotArea>
    <c:legend>
      <c:legendPos val="r"/>
      <c:layout>
        <c:manualLayout>
          <c:xMode val="edge"/>
          <c:yMode val="edge"/>
          <c:x val="0.628"/>
          <c:y val="0.02675"/>
          <c:w val="0.372"/>
          <c:h val="0.87675"/>
        </c:manualLayout>
      </c:layout>
      <c:overlay val="0"/>
      <c:spPr>
        <a:solidFill>
          <a:srgbClr val="CCFFCC"/>
        </a:solidFill>
        <a:ln w="38100">
          <a:solidFill>
            <a:srgbClr val="333399"/>
          </a:solidFill>
        </a:ln>
      </c:spPr>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Sensitivity Analysis</a:t>
            </a:r>
          </a:p>
        </c:rich>
      </c:tx>
      <c:layout/>
      <c:spPr>
        <a:noFill/>
        <a:ln>
          <a:noFill/>
        </a:ln>
      </c:spPr>
    </c:title>
    <c:plotArea>
      <c:layout/>
      <c:lineChart>
        <c:grouping val="standard"/>
        <c:varyColors val="0"/>
        <c:ser>
          <c:idx val="0"/>
          <c:order val="0"/>
          <c:tx>
            <c:strRef>
              <c:f>#REF!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38100">
              <a:solidFill>
                <a:srgbClr val="FFFF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3"/>
          <c:order val="3"/>
          <c:tx>
            <c:strRef>
              <c:f>#REF!</c:f>
              <c:strCache>
                <c:ptCount val="1"/>
                <c:pt idx="0">
                  <c:v>#REF!</c:v>
                </c:pt>
              </c:strCache>
            </c:strRef>
          </c:tx>
          <c:spPr>
            <a:ln w="38100">
              <a:solidFill>
                <a:srgbClr val="00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4"/>
          <c:order val="4"/>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5"/>
          <c:order val="5"/>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6"/>
          <c:order val="6"/>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13850134"/>
        <c:axId val="57542343"/>
      </c:lineChart>
      <c:catAx>
        <c:axId val="13850134"/>
        <c:scaling>
          <c:orientation val="minMax"/>
        </c:scaling>
        <c:axPos val="b"/>
        <c:title>
          <c:tx>
            <c:rich>
              <a:bodyPr vert="horz" rot="0" anchor="ctr"/>
              <a:lstStyle/>
              <a:p>
                <a:pPr algn="ctr">
                  <a:defRPr/>
                </a:pPr>
                <a:r>
                  <a:rPr lang="en-US" cap="none" sz="200" b="1" i="0" u="none" baseline="0">
                    <a:latin typeface="Arial"/>
                    <a:ea typeface="Arial"/>
                    <a:cs typeface="Arial"/>
                  </a:rPr>
                  <a:t>Percentage change of Parameter</a:t>
                </a:r>
              </a:p>
            </c:rich>
          </c:tx>
          <c:layout/>
          <c:overlay val="0"/>
          <c:spPr>
            <a:noFill/>
            <a:ln>
              <a:noFill/>
            </a:ln>
          </c:spPr>
        </c:title>
        <c:delete val="0"/>
        <c:numFmt formatCode="General" sourceLinked="1"/>
        <c:majorTickMark val="out"/>
        <c:minorTickMark val="none"/>
        <c:tickLblPos val="nextTo"/>
        <c:crossAx val="57542343"/>
        <c:crosses val="autoZero"/>
        <c:auto val="1"/>
        <c:lblOffset val="100"/>
        <c:noMultiLvlLbl val="0"/>
      </c:catAx>
      <c:valAx>
        <c:axId val="57542343"/>
        <c:scaling>
          <c:orientation val="minMax"/>
        </c:scaling>
        <c:axPos val="l"/>
        <c:title>
          <c:tx>
            <c:rich>
              <a:bodyPr vert="horz" rot="-5400000" anchor="ctr"/>
              <a:lstStyle/>
              <a:p>
                <a:pPr algn="ctr">
                  <a:defRPr/>
                </a:pPr>
                <a:r>
                  <a:rPr lang="en-US" cap="none" sz="225" b="1" i="0" u="none" baseline="0">
                    <a:latin typeface="Arial"/>
                    <a:ea typeface="Arial"/>
                    <a:cs typeface="Arial"/>
                  </a:rPr>
                  <a:t>Percentage change of ROI</a:t>
                </a:r>
              </a:p>
            </c:rich>
          </c:tx>
          <c:layout/>
          <c:overlay val="0"/>
          <c:spPr>
            <a:noFill/>
            <a:ln>
              <a:noFill/>
            </a:ln>
          </c:spPr>
        </c:title>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850134"/>
        <c:crossesAt val="1"/>
        <c:crossBetween val="between"/>
        <c:dispUnits/>
      </c:valAx>
      <c:spPr>
        <a:gradFill rotWithShape="1">
          <a:gsLst>
            <a:gs pos="0">
              <a:srgbClr val="BEDEDE"/>
            </a:gs>
            <a:gs pos="50000">
              <a:srgbClr val="008080"/>
            </a:gs>
            <a:gs pos="100000">
              <a:srgbClr val="BEDEDE"/>
            </a:gs>
          </a:gsLst>
          <a:lin ang="0" scaled="1"/>
        </a:gradFill>
        <a:ln w="12700">
          <a:solidFill>
            <a:srgbClr val="008080"/>
          </a:solidFill>
        </a:ln>
      </c:spPr>
    </c:plotArea>
    <c:legend>
      <c:legendPos val="r"/>
      <c:layout/>
      <c:overlay val="0"/>
      <c:spPr>
        <a:solidFill>
          <a:srgbClr val="CCFFCC"/>
        </a:solidFill>
      </c:spPr>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Sensitivity Analysis</a:t>
            </a:r>
          </a:p>
        </c:rich>
      </c:tx>
      <c:layout/>
      <c:spPr>
        <a:noFill/>
        <a:ln>
          <a:noFill/>
        </a:ln>
      </c:spPr>
    </c:title>
    <c:plotArea>
      <c:layout/>
      <c:lineChart>
        <c:grouping val="standard"/>
        <c:varyColors val="0"/>
        <c:ser>
          <c:idx val="0"/>
          <c:order val="0"/>
          <c:tx>
            <c:strRef>
              <c:f>Assess!$Q$41</c:f>
              <c:strCache>
                <c:ptCount val="1"/>
                <c:pt idx="0">
                  <c:v>Capital Investment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-0.2</c:v>
                </c:pt>
                <c:pt idx="1">
                  <c:v>-0.1</c:v>
                </c:pt>
                <c:pt idx="2">
                  <c:v>0</c:v>
                </c:pt>
                <c:pt idx="3">
                  <c:v>0.1</c:v>
                </c:pt>
                <c:pt idx="4">
                  <c:v>0.2</c:v>
                </c:pt>
              </c:numCache>
            </c:numRef>
          </c:cat>
          <c:val>
            <c:numRef>
              <c:f>Assess!$Q$47:$Q$51</c:f>
              <c:numCache>
                <c:ptCount val="5"/>
                <c:pt idx="0">
                  <c:v>0.41657751513178065</c:v>
                </c:pt>
                <c:pt idx="1">
                  <c:v>0.18514556228079102</c:v>
                </c:pt>
                <c:pt idx="2">
                  <c:v>0</c:v>
                </c:pt>
                <c:pt idx="3">
                  <c:v>-0.15148273277519325</c:v>
                </c:pt>
                <c:pt idx="4">
                  <c:v>-0.27771834342118723</c:v>
                </c:pt>
              </c:numCache>
            </c:numRef>
          </c:val>
          <c:smooth val="1"/>
        </c:ser>
        <c:ser>
          <c:idx val="1"/>
          <c:order val="1"/>
          <c:tx>
            <c:strRef>
              <c:f>Assess!$R$41</c:f>
              <c:strCache>
                <c:ptCount val="1"/>
                <c:pt idx="0">
                  <c:v>Investment Lifespan</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-0.2</c:v>
                </c:pt>
                <c:pt idx="1">
                  <c:v>-0.1</c:v>
                </c:pt>
                <c:pt idx="2">
                  <c:v>0</c:v>
                </c:pt>
                <c:pt idx="3">
                  <c:v>0.1</c:v>
                </c:pt>
                <c:pt idx="4">
                  <c:v>0.2</c:v>
                </c:pt>
              </c:numCache>
            </c:numRef>
          </c:cat>
          <c:val>
            <c:numRef>
              <c:f>Assess!$R$47:$R$51</c:f>
              <c:numCache>
                <c:ptCount val="5"/>
                <c:pt idx="0">
                  <c:v>-0.16657751513178073</c:v>
                </c:pt>
                <c:pt idx="1">
                  <c:v>-0.07403445116968045</c:v>
                </c:pt>
                <c:pt idx="2">
                  <c:v>0</c:v>
                </c:pt>
                <c:pt idx="3">
                  <c:v>0.06057364186610175</c:v>
                </c:pt>
                <c:pt idx="4">
                  <c:v>0.11105167675452031</c:v>
                </c:pt>
              </c:numCache>
            </c:numRef>
          </c:val>
          <c:smooth val="0"/>
        </c:ser>
        <c:ser>
          <c:idx val="2"/>
          <c:order val="2"/>
          <c:tx>
            <c:strRef>
              <c:f>Assess!$S$41</c:f>
              <c:strCache>
                <c:ptCount val="1"/>
                <c:pt idx="0">
                  <c:v>Units/annum</c:v>
                </c:pt>
              </c:strCache>
            </c:strRef>
          </c:tx>
          <c:spPr>
            <a:ln w="38100">
              <a:solidFill>
                <a:srgbClr val="FFFF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FFFF00"/>
                </a:solidFill>
              </a:ln>
              <a:effectLst>
                <a:outerShdw dist="35921" dir="2700000" algn="br">
                  <a:prstClr val="black"/>
                </a:outerShdw>
              </a:effectLst>
            </c:spPr>
          </c:marker>
          <c:cat>
            <c:numRef>
              <c:f>Assess!$P$47:$P$51</c:f>
              <c:numCache>
                <c:ptCount val="5"/>
                <c:pt idx="0">
                  <c:v>-0.2</c:v>
                </c:pt>
                <c:pt idx="1">
                  <c:v>-0.1</c:v>
                </c:pt>
                <c:pt idx="2">
                  <c:v>0</c:v>
                </c:pt>
                <c:pt idx="3">
                  <c:v>0.1</c:v>
                </c:pt>
                <c:pt idx="4">
                  <c:v>0.2</c:v>
                </c:pt>
              </c:numCache>
            </c:numRef>
          </c:cat>
          <c:val>
            <c:numRef>
              <c:f>Assess!$S$47:$S$51</c:f>
              <c:numCache>
                <c:ptCount val="5"/>
                <c:pt idx="0">
                  <c:v>-0.4001820948575181</c:v>
                </c:pt>
                <c:pt idx="1">
                  <c:v>-0.20009104742875883</c:v>
                </c:pt>
                <c:pt idx="2">
                  <c:v>0</c:v>
                </c:pt>
                <c:pt idx="3">
                  <c:v>0.20009104742875855</c:v>
                </c:pt>
                <c:pt idx="4">
                  <c:v>0.400182094857518</c:v>
                </c:pt>
              </c:numCache>
            </c:numRef>
          </c:val>
          <c:smooth val="0"/>
        </c:ser>
        <c:ser>
          <c:idx val="3"/>
          <c:order val="3"/>
          <c:tx>
            <c:strRef>
              <c:f>Assess!$T$41</c:f>
              <c:strCache>
                <c:ptCount val="1"/>
                <c:pt idx="0">
                  <c:v>Price/unit</c:v>
                </c:pt>
              </c:strCache>
            </c:strRef>
          </c:tx>
          <c:spPr>
            <a:ln w="38100">
              <a:solidFill>
                <a:srgbClr val="00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x"/>
            <c:size val="11"/>
            <c:spPr>
              <a:noFill/>
              <a:ln>
                <a:solidFill>
                  <a:srgbClr val="00FFFF"/>
                </a:solidFill>
              </a:ln>
              <a:effectLst>
                <a:outerShdw dist="35921" dir="2700000" algn="br">
                  <a:prstClr val="black"/>
                </a:outerShdw>
              </a:effectLst>
            </c:spPr>
          </c:marker>
          <c:cat>
            <c:numRef>
              <c:f>Assess!$P$47:$P$51</c:f>
              <c:numCache>
                <c:ptCount val="5"/>
                <c:pt idx="0">
                  <c:v>-0.2</c:v>
                </c:pt>
                <c:pt idx="1">
                  <c:v>-0.1</c:v>
                </c:pt>
                <c:pt idx="2">
                  <c:v>0</c:v>
                </c:pt>
                <c:pt idx="3">
                  <c:v>0.1</c:v>
                </c:pt>
                <c:pt idx="4">
                  <c:v>0.2</c:v>
                </c:pt>
              </c:numCache>
            </c:numRef>
          </c:cat>
          <c:val>
            <c:numRef>
              <c:f>Assess!$T$47:$T$51</c:f>
              <c:numCache>
                <c:ptCount val="5"/>
                <c:pt idx="0">
                  <c:v>-0.6785696391062263</c:v>
                </c:pt>
                <c:pt idx="1">
                  <c:v>-0.33928481955311324</c:v>
                </c:pt>
                <c:pt idx="2">
                  <c:v>0</c:v>
                </c:pt>
                <c:pt idx="3">
                  <c:v>0.33928481955311285</c:v>
                </c:pt>
                <c:pt idx="4">
                  <c:v>0.6785696391062257</c:v>
                </c:pt>
              </c:numCache>
            </c:numRef>
          </c:val>
          <c:smooth val="0"/>
        </c:ser>
        <c:ser>
          <c:idx val="4"/>
          <c:order val="4"/>
          <c:tx>
            <c:strRef>
              <c:f>Assess!$U$41</c:f>
              <c:strCache>
                <c:ptCount val="1"/>
                <c:pt idx="0">
                  <c:v>Variable cost of sale/unit</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-0.2</c:v>
                </c:pt>
                <c:pt idx="1">
                  <c:v>-0.1</c:v>
                </c:pt>
                <c:pt idx="2">
                  <c:v>0</c:v>
                </c:pt>
                <c:pt idx="3">
                  <c:v>0.1</c:v>
                </c:pt>
                <c:pt idx="4">
                  <c:v>0.2</c:v>
                </c:pt>
              </c:numCache>
            </c:numRef>
          </c:cat>
          <c:val>
            <c:numRef>
              <c:f>Assess!$U$47:$U$51</c:f>
              <c:numCache>
                <c:ptCount val="5"/>
                <c:pt idx="0">
                  <c:v>0.2783875442487079</c:v>
                </c:pt>
                <c:pt idx="1">
                  <c:v>0.13919377212435394</c:v>
                </c:pt>
                <c:pt idx="2">
                  <c:v>0</c:v>
                </c:pt>
                <c:pt idx="3">
                  <c:v>-0.13919377212435433</c:v>
                </c:pt>
                <c:pt idx="4">
                  <c:v>-0.278387544248708</c:v>
                </c:pt>
              </c:numCache>
            </c:numRef>
          </c:val>
          <c:smooth val="0"/>
        </c:ser>
        <c:ser>
          <c:idx val="5"/>
          <c:order val="5"/>
          <c:tx>
            <c:strRef>
              <c:f>Assess!$V$41</c:f>
              <c:strCache>
                <c:ptCount val="1"/>
                <c:pt idx="0">
                  <c:v>Cost of energy/unit</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-0.2</c:v>
                </c:pt>
                <c:pt idx="1">
                  <c:v>-0.1</c:v>
                </c:pt>
                <c:pt idx="2">
                  <c:v>0</c:v>
                </c:pt>
                <c:pt idx="3">
                  <c:v>0.1</c:v>
                </c:pt>
                <c:pt idx="4">
                  <c:v>0.2</c:v>
                </c:pt>
              </c:numCache>
            </c:numRef>
          </c:cat>
          <c:val>
            <c:numRef>
              <c:f>Assess!$V$47:$V$51</c:f>
              <c:numCache>
                <c:ptCount val="5"/>
                <c:pt idx="0">
                  <c:v>-1.8493819268414844E-16</c:v>
                </c:pt>
                <c:pt idx="1">
                  <c:v>-1.8493819268414844E-16</c:v>
                </c:pt>
                <c:pt idx="2">
                  <c:v>0</c:v>
                </c:pt>
                <c:pt idx="3">
                  <c:v>-1.8493819268414844E-16</c:v>
                </c:pt>
                <c:pt idx="4">
                  <c:v>-1.8493819268414844E-16</c:v>
                </c:pt>
              </c:numCache>
            </c:numRef>
          </c:val>
          <c:smooth val="0"/>
        </c:ser>
        <c:ser>
          <c:idx val="6"/>
          <c:order val="6"/>
          <c:tx>
            <c:strRef>
              <c:f>Assess!$W$41</c:f>
              <c:strCache>
                <c:ptCount val="1"/>
                <c:pt idx="0">
                  <c:v>total fixed costs</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-0.2</c:v>
                </c:pt>
                <c:pt idx="1">
                  <c:v>-0.1</c:v>
                </c:pt>
                <c:pt idx="2">
                  <c:v>0</c:v>
                </c:pt>
                <c:pt idx="3">
                  <c:v>0.1</c:v>
                </c:pt>
                <c:pt idx="4">
                  <c:v>0.2</c:v>
                </c:pt>
              </c:numCache>
            </c:numRef>
          </c:cat>
          <c:val>
            <c:numRef>
              <c:f>Assess!$W$47:$W$51</c:f>
              <c:numCache>
                <c:ptCount val="5"/>
                <c:pt idx="0">
                  <c:v>0.06692008275209314</c:v>
                </c:pt>
                <c:pt idx="1">
                  <c:v>0.03346004137604639</c:v>
                </c:pt>
                <c:pt idx="2">
                  <c:v>0</c:v>
                </c:pt>
                <c:pt idx="3">
                  <c:v>-0.03346004137604676</c:v>
                </c:pt>
                <c:pt idx="4">
                  <c:v>-0.06692008275209352</c:v>
                </c:pt>
              </c:numCache>
            </c:numRef>
          </c:val>
          <c:smooth val="0"/>
        </c:ser>
        <c:marker val="1"/>
        <c:axId val="48119040"/>
        <c:axId val="30418177"/>
      </c:lineChart>
      <c:catAx>
        <c:axId val="48119040"/>
        <c:scaling>
          <c:orientation val="minMax"/>
        </c:scaling>
        <c:axPos val="b"/>
        <c:title>
          <c:tx>
            <c:rich>
              <a:bodyPr vert="horz" rot="0" anchor="ctr"/>
              <a:lstStyle/>
              <a:p>
                <a:pPr algn="ctr">
                  <a:defRPr/>
                </a:pPr>
                <a:r>
                  <a:rPr lang="en-US" cap="none" sz="225" b="1" i="0" u="none" baseline="0">
                    <a:latin typeface="Arial"/>
                    <a:ea typeface="Arial"/>
                    <a:cs typeface="Arial"/>
                  </a:rPr>
                  <a:t>percentage change of parameter</a:t>
                </a:r>
              </a:p>
            </c:rich>
          </c:tx>
          <c:layout/>
          <c:overlay val="0"/>
          <c:spPr>
            <a:noFill/>
            <a:ln>
              <a:noFill/>
            </a:ln>
          </c:spPr>
        </c:title>
        <c:delete val="0"/>
        <c:numFmt formatCode="General" sourceLinked="1"/>
        <c:majorTickMark val="out"/>
        <c:minorTickMark val="none"/>
        <c:tickLblPos val="nextTo"/>
        <c:crossAx val="30418177"/>
        <c:crosses val="autoZero"/>
        <c:auto val="1"/>
        <c:lblOffset val="100"/>
        <c:noMultiLvlLbl val="0"/>
      </c:catAx>
      <c:valAx>
        <c:axId val="30418177"/>
        <c:scaling>
          <c:orientation val="minMax"/>
        </c:scaling>
        <c:axPos val="l"/>
        <c:title>
          <c:tx>
            <c:rich>
              <a:bodyPr vert="horz" rot="-5400000" anchor="ctr"/>
              <a:lstStyle/>
              <a:p>
                <a:pPr algn="ctr">
                  <a:defRPr/>
                </a:pPr>
                <a:r>
                  <a:rPr lang="en-US" cap="none" sz="225" b="1" i="0" u="none" baseline="0">
                    <a:latin typeface="Arial"/>
                    <a:ea typeface="Arial"/>
                    <a:cs typeface="Arial"/>
                  </a:rPr>
                  <a:t>percentage change of ROI</a:t>
                </a:r>
              </a:p>
            </c:rich>
          </c:tx>
          <c:layout/>
          <c:overlay val="0"/>
          <c:spPr>
            <a:noFill/>
            <a:ln>
              <a:noFill/>
            </a:ln>
          </c:spPr>
        </c:title>
        <c:majorGridlines/>
        <c:delete val="0"/>
        <c:numFmt formatCode="0%" sourceLinked="0"/>
        <c:majorTickMark val="out"/>
        <c:minorTickMark val="none"/>
        <c:tickLblPos val="nextTo"/>
        <c:crossAx val="48119040"/>
        <c:crossesAt val="1"/>
        <c:crossBetween val="between"/>
        <c:dispUnits/>
      </c:valAx>
      <c:spPr>
        <a:gradFill rotWithShape="1">
          <a:gsLst>
            <a:gs pos="0">
              <a:srgbClr val="E5F8F8"/>
            </a:gs>
            <a:gs pos="50000">
              <a:srgbClr val="33CCCC"/>
            </a:gs>
            <a:gs pos="100000">
              <a:srgbClr val="E5F8F8"/>
            </a:gs>
          </a:gsLst>
          <a:lin ang="0" scaled="1"/>
        </a:gradFill>
        <a:ln w="38100">
          <a:solidFill>
            <a:srgbClr val="333399"/>
          </a:solidFill>
        </a:ln>
      </c:spPr>
    </c:plotArea>
    <c:legend>
      <c:legendPos val="r"/>
      <c:layout/>
      <c:overlay val="0"/>
      <c:spPr>
        <a:solidFill>
          <a:srgbClr val="CCFFCC"/>
        </a:solidFill>
        <a:ln w="38100">
          <a:solidFill>
            <a:srgbClr val="333399"/>
          </a:solid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Cash Flow Analysis: First Year</a:t>
            </a:r>
          </a:p>
        </c:rich>
      </c:tx>
      <c:layout>
        <c:manualLayout>
          <c:xMode val="factor"/>
          <c:yMode val="factor"/>
          <c:x val="0"/>
          <c:y val="-0.02025"/>
        </c:manualLayout>
      </c:layout>
      <c:spPr>
        <a:noFill/>
        <a:ln>
          <a:noFill/>
        </a:ln>
      </c:spPr>
    </c:title>
    <c:plotArea>
      <c:layout>
        <c:manualLayout>
          <c:xMode val="edge"/>
          <c:yMode val="edge"/>
          <c:x val="0"/>
          <c:y val="0.0345"/>
          <c:w val="1"/>
          <c:h val="0.9655"/>
        </c:manualLayout>
      </c:layout>
      <c:barChart>
        <c:barDir val="col"/>
        <c:grouping val="clustered"/>
        <c:varyColors val="0"/>
        <c:ser>
          <c:idx val="1"/>
          <c:order val="0"/>
          <c:tx>
            <c:v>Cash In (acc)</c:v>
          </c:tx>
          <c:spPr>
            <a:gradFill rotWithShape="1">
              <a:gsLst>
                <a:gs pos="0">
                  <a:srgbClr val="114646"/>
                </a:gs>
                <a:gs pos="100000">
                  <a:srgbClr val="33CCCC"/>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Cashflow!$C$2:$N$2</c:f>
              <c:strCache>
                <c:ptCount val="12"/>
                <c:pt idx="0">
                  <c:v>Month-1</c:v>
                </c:pt>
                <c:pt idx="1">
                  <c:v>Month-2</c:v>
                </c:pt>
                <c:pt idx="2">
                  <c:v>Month-3</c:v>
                </c:pt>
                <c:pt idx="3">
                  <c:v>Month-4</c:v>
                </c:pt>
                <c:pt idx="4">
                  <c:v>Month-5</c:v>
                </c:pt>
                <c:pt idx="5">
                  <c:v>Month-6</c:v>
                </c:pt>
                <c:pt idx="6">
                  <c:v>Month-7</c:v>
                </c:pt>
                <c:pt idx="7">
                  <c:v>Month-8</c:v>
                </c:pt>
                <c:pt idx="8">
                  <c:v>Month-9</c:v>
                </c:pt>
                <c:pt idx="9">
                  <c:v>Month-10</c:v>
                </c:pt>
                <c:pt idx="10">
                  <c:v>Month-11</c:v>
                </c:pt>
                <c:pt idx="11">
                  <c:v>Month-12</c:v>
                </c:pt>
              </c:strCache>
            </c:strRef>
          </c:cat>
          <c:val>
            <c:numRef>
              <c:f>Cashflow!$C$65:$N$65</c:f>
              <c:numCache>
                <c:ptCount val="12"/>
                <c:pt idx="0">
                  <c:v>390</c:v>
                </c:pt>
                <c:pt idx="1">
                  <c:v>780</c:v>
                </c:pt>
                <c:pt idx="2">
                  <c:v>1365</c:v>
                </c:pt>
                <c:pt idx="3">
                  <c:v>2145</c:v>
                </c:pt>
                <c:pt idx="4">
                  <c:v>3705</c:v>
                </c:pt>
                <c:pt idx="5">
                  <c:v>5510</c:v>
                </c:pt>
                <c:pt idx="6">
                  <c:v>6925</c:v>
                </c:pt>
                <c:pt idx="7">
                  <c:v>8145</c:v>
                </c:pt>
                <c:pt idx="8">
                  <c:v>9585</c:v>
                </c:pt>
                <c:pt idx="9">
                  <c:v>11245</c:v>
                </c:pt>
                <c:pt idx="10">
                  <c:v>13125</c:v>
                </c:pt>
                <c:pt idx="11">
                  <c:v>15420</c:v>
                </c:pt>
              </c:numCache>
            </c:numRef>
          </c:val>
        </c:ser>
        <c:ser>
          <c:idx val="0"/>
          <c:order val="1"/>
          <c:tx>
            <c:v>Cash Out (acc)</c:v>
          </c:tx>
          <c:spPr>
            <a:gradFill rotWithShape="1">
              <a:gsLst>
                <a:gs pos="0">
                  <a:srgbClr val="008080"/>
                </a:gs>
                <a:gs pos="100000">
                  <a:srgbClr val="003636"/>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Cashflow!$C$2:$N$2</c:f>
              <c:strCache>
                <c:ptCount val="12"/>
                <c:pt idx="0">
                  <c:v>Month-1</c:v>
                </c:pt>
                <c:pt idx="1">
                  <c:v>Month-2</c:v>
                </c:pt>
                <c:pt idx="2">
                  <c:v>Month-3</c:v>
                </c:pt>
                <c:pt idx="3">
                  <c:v>Month-4</c:v>
                </c:pt>
                <c:pt idx="4">
                  <c:v>Month-5</c:v>
                </c:pt>
                <c:pt idx="5">
                  <c:v>Month-6</c:v>
                </c:pt>
                <c:pt idx="6">
                  <c:v>Month-7</c:v>
                </c:pt>
                <c:pt idx="7">
                  <c:v>Month-8</c:v>
                </c:pt>
                <c:pt idx="8">
                  <c:v>Month-9</c:v>
                </c:pt>
                <c:pt idx="9">
                  <c:v>Month-10</c:v>
                </c:pt>
                <c:pt idx="10">
                  <c:v>Month-11</c:v>
                </c:pt>
                <c:pt idx="11">
                  <c:v>Month-12</c:v>
                </c:pt>
              </c:strCache>
            </c:strRef>
          </c:cat>
          <c:val>
            <c:numRef>
              <c:f>Cashflow!$C$66:$N$66</c:f>
              <c:numCache>
                <c:ptCount val="12"/>
                <c:pt idx="0">
                  <c:v>895.8166642978388</c:v>
                </c:pt>
                <c:pt idx="1">
                  <c:v>1141.6333285956775</c:v>
                </c:pt>
                <c:pt idx="2">
                  <c:v>1467.4499928935163</c:v>
                </c:pt>
                <c:pt idx="3">
                  <c:v>1873.266657191355</c:v>
                </c:pt>
                <c:pt idx="4">
                  <c:v>2609.0833214891936</c:v>
                </c:pt>
                <c:pt idx="5">
                  <c:v>4384.899985787032</c:v>
                </c:pt>
                <c:pt idx="6">
                  <c:v>5100.716650084871</c:v>
                </c:pt>
                <c:pt idx="7">
                  <c:v>5736.533314382709</c:v>
                </c:pt>
                <c:pt idx="8">
                  <c:v>6472.349978680548</c:v>
                </c:pt>
                <c:pt idx="9">
                  <c:v>7308.166642978386</c:v>
                </c:pt>
                <c:pt idx="10">
                  <c:v>8243.983307276225</c:v>
                </c:pt>
                <c:pt idx="11">
                  <c:v>9359.799971574064</c:v>
                </c:pt>
              </c:numCache>
            </c:numRef>
          </c:val>
        </c:ser>
        <c:ser>
          <c:idx val="4"/>
          <c:order val="2"/>
          <c:tx>
            <c:strRef>
              <c:f>Cashflow!$A$70</c:f>
              <c:strCache>
                <c:ptCount val="1"/>
                <c:pt idx="0">
                  <c:v>Operating Result</c:v>
                </c:pt>
              </c:strCache>
            </c:strRef>
          </c:tx>
          <c:spPr>
            <a:gradFill rotWithShape="1">
              <a:gsLst>
                <a:gs pos="0">
                  <a:srgbClr val="B686B6"/>
                </a:gs>
                <a:gs pos="100000">
                  <a:srgbClr val="660066"/>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Cashflow!$C$2:$N$2</c:f>
              <c:strCache>
                <c:ptCount val="12"/>
                <c:pt idx="0">
                  <c:v>Month-1</c:v>
                </c:pt>
                <c:pt idx="1">
                  <c:v>Month-2</c:v>
                </c:pt>
                <c:pt idx="2">
                  <c:v>Month-3</c:v>
                </c:pt>
                <c:pt idx="3">
                  <c:v>Month-4</c:v>
                </c:pt>
                <c:pt idx="4">
                  <c:v>Month-5</c:v>
                </c:pt>
                <c:pt idx="5">
                  <c:v>Month-6</c:v>
                </c:pt>
                <c:pt idx="6">
                  <c:v>Month-7</c:v>
                </c:pt>
                <c:pt idx="7">
                  <c:v>Month-8</c:v>
                </c:pt>
                <c:pt idx="8">
                  <c:v>Month-9</c:v>
                </c:pt>
                <c:pt idx="9">
                  <c:v>Month-10</c:v>
                </c:pt>
                <c:pt idx="10">
                  <c:v>Month-11</c:v>
                </c:pt>
                <c:pt idx="11">
                  <c:v>Month-12</c:v>
                </c:pt>
              </c:strCache>
            </c:strRef>
          </c:cat>
          <c:val>
            <c:numRef>
              <c:f>Cashflow!$C$70:$N$70</c:f>
              <c:numCache>
                <c:ptCount val="12"/>
                <c:pt idx="0">
                  <c:v>-505.81666429783877</c:v>
                </c:pt>
                <c:pt idx="1">
                  <c:v>144.18333570216126</c:v>
                </c:pt>
                <c:pt idx="2">
                  <c:v>259.18333570216123</c:v>
                </c:pt>
                <c:pt idx="3">
                  <c:v>374.18333570216123</c:v>
                </c:pt>
                <c:pt idx="4">
                  <c:v>824.1833357021612</c:v>
                </c:pt>
                <c:pt idx="5">
                  <c:v>29.183335702161248</c:v>
                </c:pt>
                <c:pt idx="6">
                  <c:v>699.1833357021612</c:v>
                </c:pt>
                <c:pt idx="7">
                  <c:v>584.1833357021612</c:v>
                </c:pt>
                <c:pt idx="8">
                  <c:v>704.1833357021612</c:v>
                </c:pt>
                <c:pt idx="9">
                  <c:v>824.1833357021612</c:v>
                </c:pt>
                <c:pt idx="10">
                  <c:v>944.1833357021612</c:v>
                </c:pt>
                <c:pt idx="11">
                  <c:v>1179.1833357021612</c:v>
                </c:pt>
              </c:numCache>
            </c:numRef>
          </c:val>
        </c:ser>
        <c:overlap val="10"/>
        <c:gapWidth val="0"/>
        <c:axId val="5328138"/>
        <c:axId val="47953243"/>
      </c:barChart>
      <c:lineChart>
        <c:grouping val="standard"/>
        <c:varyColors val="0"/>
        <c:ser>
          <c:idx val="2"/>
          <c:order val="3"/>
          <c:tx>
            <c:strRef>
              <c:f>Cashflow!$A$68</c:f>
              <c:strCache>
                <c:ptCount val="1"/>
                <c:pt idx="0">
                  <c:v>Operating Result, acc</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Cashflow!$C$68:$N$68</c:f>
              <c:numCache>
                <c:ptCount val="12"/>
                <c:pt idx="0">
                  <c:v>-505.81666429783877</c:v>
                </c:pt>
                <c:pt idx="1">
                  <c:v>-361.63332859567754</c:v>
                </c:pt>
                <c:pt idx="2">
                  <c:v>-102.44999289351631</c:v>
                </c:pt>
                <c:pt idx="3">
                  <c:v>271.7333428086449</c:v>
                </c:pt>
                <c:pt idx="4">
                  <c:v>1095.9166785108062</c:v>
                </c:pt>
                <c:pt idx="5">
                  <c:v>1125.1000142129674</c:v>
                </c:pt>
                <c:pt idx="6">
                  <c:v>1824.2833499151286</c:v>
                </c:pt>
                <c:pt idx="7">
                  <c:v>2408.46668561729</c:v>
                </c:pt>
                <c:pt idx="8">
                  <c:v>3112.6500213194513</c:v>
                </c:pt>
                <c:pt idx="9">
                  <c:v>3936.8333570216128</c:v>
                </c:pt>
                <c:pt idx="10">
                  <c:v>4881.016692723774</c:v>
                </c:pt>
                <c:pt idx="11">
                  <c:v>6060.200028425936</c:v>
                </c:pt>
              </c:numCache>
            </c:numRef>
          </c:val>
          <c:smooth val="0"/>
        </c:ser>
        <c:axId val="28926004"/>
        <c:axId val="59007445"/>
      </c:lineChart>
      <c:lineChart>
        <c:grouping val="standard"/>
        <c:varyColors val="0"/>
        <c:ser>
          <c:idx val="3"/>
          <c:order val="4"/>
          <c:tx>
            <c:strRef>
              <c:f>Cashflow!$A$69</c:f>
              <c:strCache>
                <c:ptCount val="1"/>
                <c:pt idx="0">
                  <c:v>Cash Flow</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Cashflow!$C$2:$N$2</c:f>
              <c:strCache>
                <c:ptCount val="12"/>
                <c:pt idx="0">
                  <c:v>Month-1</c:v>
                </c:pt>
                <c:pt idx="1">
                  <c:v>Month-2</c:v>
                </c:pt>
                <c:pt idx="2">
                  <c:v>Month-3</c:v>
                </c:pt>
                <c:pt idx="3">
                  <c:v>Month-4</c:v>
                </c:pt>
                <c:pt idx="4">
                  <c:v>Month-5</c:v>
                </c:pt>
                <c:pt idx="5">
                  <c:v>Month-6</c:v>
                </c:pt>
                <c:pt idx="6">
                  <c:v>Month-7</c:v>
                </c:pt>
                <c:pt idx="7">
                  <c:v>Month-8</c:v>
                </c:pt>
                <c:pt idx="8">
                  <c:v>Month-9</c:v>
                </c:pt>
                <c:pt idx="9">
                  <c:v>Month-10</c:v>
                </c:pt>
                <c:pt idx="10">
                  <c:v>Month-11</c:v>
                </c:pt>
                <c:pt idx="11">
                  <c:v>Month-12</c:v>
                </c:pt>
              </c:strCache>
            </c:strRef>
          </c:cat>
          <c:val>
            <c:numRef>
              <c:f>Cashflow!$C$69:$N$69</c:f>
              <c:numCache>
                <c:ptCount val="12"/>
                <c:pt idx="0">
                  <c:v>94.18333570216123</c:v>
                </c:pt>
                <c:pt idx="1">
                  <c:v>238.3666714043225</c:v>
                </c:pt>
                <c:pt idx="2">
                  <c:v>497.5500071064837</c:v>
                </c:pt>
                <c:pt idx="3">
                  <c:v>871.7333428086449</c:v>
                </c:pt>
                <c:pt idx="4">
                  <c:v>1695.9166785108062</c:v>
                </c:pt>
                <c:pt idx="5">
                  <c:v>1725.1000142129674</c:v>
                </c:pt>
                <c:pt idx="6">
                  <c:v>2424.2833499151284</c:v>
                </c:pt>
                <c:pt idx="7">
                  <c:v>3008.46668561729</c:v>
                </c:pt>
                <c:pt idx="8">
                  <c:v>3712.6500213194513</c:v>
                </c:pt>
                <c:pt idx="9">
                  <c:v>4536.833357021613</c:v>
                </c:pt>
                <c:pt idx="10">
                  <c:v>5481.016692723774</c:v>
                </c:pt>
                <c:pt idx="11">
                  <c:v>6660.200028425936</c:v>
                </c:pt>
              </c:numCache>
            </c:numRef>
          </c:val>
          <c:smooth val="0"/>
        </c:ser>
        <c:axId val="5328138"/>
        <c:axId val="47953243"/>
      </c:lineChart>
      <c:catAx>
        <c:axId val="5328138"/>
        <c:scaling>
          <c:orientation val="minMax"/>
        </c:scaling>
        <c:axPos val="b"/>
        <c:delete val="0"/>
        <c:numFmt formatCode="General" sourceLinked="1"/>
        <c:majorTickMark val="in"/>
        <c:minorTickMark val="none"/>
        <c:tickLblPos val="nextTo"/>
        <c:crossAx val="47953243"/>
        <c:crosses val="autoZero"/>
        <c:auto val="0"/>
        <c:lblOffset val="100"/>
        <c:tickLblSkip val="1"/>
        <c:noMultiLvlLbl val="0"/>
      </c:catAx>
      <c:valAx>
        <c:axId val="47953243"/>
        <c:scaling>
          <c:orientation val="minMax"/>
        </c:scaling>
        <c:axPos val="l"/>
        <c:majorGridlines/>
        <c:delete val="0"/>
        <c:numFmt formatCode="#,##0" sourceLinked="0"/>
        <c:majorTickMark val="in"/>
        <c:minorTickMark val="none"/>
        <c:tickLblPos val="nextTo"/>
        <c:crossAx val="5328138"/>
        <c:crossesAt val="1"/>
        <c:crossBetween val="between"/>
        <c:dispUnits/>
      </c:valAx>
      <c:catAx>
        <c:axId val="28926004"/>
        <c:scaling>
          <c:orientation val="minMax"/>
        </c:scaling>
        <c:axPos val="b"/>
        <c:delete val="1"/>
        <c:majorTickMark val="in"/>
        <c:minorTickMark val="none"/>
        <c:tickLblPos val="nextTo"/>
        <c:crossAx val="59007445"/>
        <c:crosses val="autoZero"/>
        <c:auto val="0"/>
        <c:lblOffset val="100"/>
        <c:tickLblSkip val="1"/>
        <c:noMultiLvlLbl val="0"/>
      </c:catAx>
      <c:valAx>
        <c:axId val="59007445"/>
        <c:scaling>
          <c:orientation val="minMax"/>
        </c:scaling>
        <c:axPos val="l"/>
        <c:delete val="1"/>
        <c:majorTickMark val="in"/>
        <c:minorTickMark val="none"/>
        <c:tickLblPos val="nextTo"/>
        <c:crossAx val="28926004"/>
        <c:crosses val="max"/>
        <c:crossBetween val="between"/>
        <c:dispUnits/>
      </c:valAx>
      <c:spPr>
        <a:solidFill>
          <a:srgbClr val="C0C0C0"/>
        </a:solidFill>
        <a:ln w="12700">
          <a:solidFill>
            <a:srgbClr val="808080"/>
          </a:solidFill>
        </a:ln>
      </c:spPr>
    </c:plotArea>
    <c:legend>
      <c:legendPos val="r"/>
      <c:layout>
        <c:manualLayout>
          <c:xMode val="edge"/>
          <c:yMode val="edge"/>
          <c:x val="0.19425"/>
          <c:y val="0.965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Cash Flow Analysis: 1st - 3rd Year</a:t>
            </a:r>
          </a:p>
        </c:rich>
      </c:tx>
      <c:layout>
        <c:manualLayout>
          <c:xMode val="factor"/>
          <c:yMode val="factor"/>
          <c:x val="0"/>
          <c:y val="-0.02075"/>
        </c:manualLayout>
      </c:layout>
      <c:spPr>
        <a:noFill/>
        <a:ln>
          <a:noFill/>
        </a:ln>
      </c:spPr>
    </c:title>
    <c:plotArea>
      <c:layout>
        <c:manualLayout>
          <c:xMode val="edge"/>
          <c:yMode val="edge"/>
          <c:x val="0"/>
          <c:y val="0.03925"/>
          <c:w val="1"/>
          <c:h val="0.96075"/>
        </c:manualLayout>
      </c:layout>
      <c:barChart>
        <c:barDir val="col"/>
        <c:grouping val="clustered"/>
        <c:varyColors val="0"/>
        <c:ser>
          <c:idx val="1"/>
          <c:order val="0"/>
          <c:tx>
            <c:v>Cash In (acc)</c:v>
          </c:tx>
          <c:spPr>
            <a:gradFill rotWithShape="1">
              <a:gsLst>
                <a:gs pos="0">
                  <a:srgbClr val="134D4D"/>
                </a:gs>
                <a:gs pos="100000">
                  <a:srgbClr val="33CCCC"/>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Cashflow!$C$74:$E$74</c:f>
              <c:strCache>
                <c:ptCount val="3"/>
                <c:pt idx="0">
                  <c:v>Year 1</c:v>
                </c:pt>
                <c:pt idx="1">
                  <c:v>Year 2</c:v>
                </c:pt>
                <c:pt idx="2">
                  <c:v>Year 3</c:v>
                </c:pt>
              </c:strCache>
            </c:strRef>
          </c:cat>
          <c:val>
            <c:numRef>
              <c:f>Cashflow!$C$75:$E$75</c:f>
              <c:numCache>
                <c:ptCount val="3"/>
                <c:pt idx="0">
                  <c:v>15420</c:v>
                </c:pt>
                <c:pt idx="1">
                  <c:v>17470</c:v>
                </c:pt>
                <c:pt idx="2">
                  <c:v>18300</c:v>
                </c:pt>
              </c:numCache>
            </c:numRef>
          </c:val>
        </c:ser>
        <c:ser>
          <c:idx val="0"/>
          <c:order val="1"/>
          <c:tx>
            <c:v>Cash Out (acc)</c:v>
          </c:tx>
          <c:spPr>
            <a:gradFill rotWithShape="1">
              <a:gsLst>
                <a:gs pos="0">
                  <a:srgbClr val="33CCCC"/>
                </a:gs>
                <a:gs pos="100000">
                  <a:srgbClr val="175E5E"/>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Cashflow!$C$74:$E$74</c:f>
              <c:strCache>
                <c:ptCount val="3"/>
                <c:pt idx="0">
                  <c:v>Year 1</c:v>
                </c:pt>
                <c:pt idx="1">
                  <c:v>Year 2</c:v>
                </c:pt>
                <c:pt idx="2">
                  <c:v>Year 3</c:v>
                </c:pt>
              </c:strCache>
            </c:strRef>
          </c:cat>
          <c:val>
            <c:numRef>
              <c:f>Cashflow!$C$76:$E$76</c:f>
              <c:numCache>
                <c:ptCount val="3"/>
                <c:pt idx="0">
                  <c:v>9359.799971574064</c:v>
                </c:pt>
                <c:pt idx="1">
                  <c:v>10069.799971574064</c:v>
                </c:pt>
                <c:pt idx="2">
                  <c:v>9399.799971574064</c:v>
                </c:pt>
              </c:numCache>
            </c:numRef>
          </c:val>
        </c:ser>
        <c:ser>
          <c:idx val="4"/>
          <c:order val="2"/>
          <c:tx>
            <c:strRef>
              <c:f>Cashflow!$A$80</c:f>
              <c:strCache>
                <c:ptCount val="1"/>
                <c:pt idx="0">
                  <c:v>Operating Result</c:v>
                </c:pt>
              </c:strCache>
            </c:strRef>
          </c:tx>
          <c:spPr>
            <a:gradFill rotWithShape="1">
              <a:gsLst>
                <a:gs pos="0">
                  <a:srgbClr val="660066"/>
                </a:gs>
                <a:gs pos="50000">
                  <a:srgbClr val="B686B6"/>
                </a:gs>
                <a:gs pos="100000">
                  <a:srgbClr val="660066"/>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Cashflow!$C$80:$E$80</c:f>
              <c:numCache>
                <c:ptCount val="3"/>
                <c:pt idx="0">
                  <c:v>6060.200028425935</c:v>
                </c:pt>
                <c:pt idx="1">
                  <c:v>7400.200028425935</c:v>
                </c:pt>
                <c:pt idx="2">
                  <c:v>8900.200028425936</c:v>
                </c:pt>
              </c:numCache>
            </c:numRef>
          </c:val>
        </c:ser>
        <c:gapWidth val="50"/>
        <c:axId val="61304958"/>
        <c:axId val="14873711"/>
      </c:barChart>
      <c:lineChart>
        <c:grouping val="standard"/>
        <c:varyColors val="0"/>
        <c:ser>
          <c:idx val="2"/>
          <c:order val="3"/>
          <c:tx>
            <c:strRef>
              <c:f>Cashflow!$A$78</c:f>
              <c:strCache>
                <c:ptCount val="1"/>
                <c:pt idx="0">
                  <c:v>Operating Result, acc</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Cashflow!$C$78:$E$78</c:f>
              <c:numCache>
                <c:ptCount val="3"/>
                <c:pt idx="0">
                  <c:v>6060.200028425935</c:v>
                </c:pt>
                <c:pt idx="1">
                  <c:v>13460.40005685187</c:v>
                </c:pt>
                <c:pt idx="2">
                  <c:v>22360.600085277805</c:v>
                </c:pt>
              </c:numCache>
            </c:numRef>
          </c:val>
          <c:smooth val="0"/>
        </c:ser>
        <c:ser>
          <c:idx val="3"/>
          <c:order val="4"/>
          <c:tx>
            <c:strRef>
              <c:f>Cashflow!$A$79</c:f>
              <c:strCache>
                <c:ptCount val="1"/>
                <c:pt idx="0">
                  <c:v>Cash Flow</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Cashflow!$C$79:$E$79</c:f>
              <c:numCache>
                <c:ptCount val="3"/>
                <c:pt idx="0">
                  <c:v>6660.200028425935</c:v>
                </c:pt>
                <c:pt idx="1">
                  <c:v>14060.40005685187</c:v>
                </c:pt>
                <c:pt idx="2">
                  <c:v>22960.600085277805</c:v>
                </c:pt>
              </c:numCache>
            </c:numRef>
          </c:val>
          <c:smooth val="0"/>
        </c:ser>
        <c:axId val="66754536"/>
        <c:axId val="63919913"/>
      </c:lineChart>
      <c:catAx>
        <c:axId val="61304958"/>
        <c:scaling>
          <c:orientation val="minMax"/>
        </c:scaling>
        <c:axPos val="b"/>
        <c:delete val="0"/>
        <c:numFmt formatCode="General" sourceLinked="1"/>
        <c:majorTickMark val="in"/>
        <c:minorTickMark val="none"/>
        <c:tickLblPos val="nextTo"/>
        <c:spPr>
          <a:ln w="3175">
            <a:noFill/>
          </a:ln>
        </c:spPr>
        <c:crossAx val="14873711"/>
        <c:crosses val="autoZero"/>
        <c:auto val="0"/>
        <c:lblOffset val="100"/>
        <c:tickLblSkip val="1"/>
        <c:noMultiLvlLbl val="0"/>
      </c:catAx>
      <c:valAx>
        <c:axId val="14873711"/>
        <c:scaling>
          <c:orientation val="minMax"/>
        </c:scaling>
        <c:axPos val="l"/>
        <c:majorGridlines/>
        <c:delete val="0"/>
        <c:numFmt formatCode="#,##0" sourceLinked="0"/>
        <c:majorTickMark val="in"/>
        <c:minorTickMark val="none"/>
        <c:tickLblPos val="nextTo"/>
        <c:crossAx val="61304958"/>
        <c:crossesAt val="1"/>
        <c:crossBetween val="between"/>
        <c:dispUnits/>
      </c:valAx>
      <c:catAx>
        <c:axId val="66754536"/>
        <c:scaling>
          <c:orientation val="minMax"/>
        </c:scaling>
        <c:axPos val="b"/>
        <c:delete val="1"/>
        <c:majorTickMark val="in"/>
        <c:minorTickMark val="none"/>
        <c:tickLblPos val="nextTo"/>
        <c:crossAx val="63919913"/>
        <c:crosses val="autoZero"/>
        <c:auto val="0"/>
        <c:lblOffset val="100"/>
        <c:tickLblSkip val="1"/>
        <c:noMultiLvlLbl val="0"/>
      </c:catAx>
      <c:valAx>
        <c:axId val="63919913"/>
        <c:scaling>
          <c:orientation val="minMax"/>
        </c:scaling>
        <c:axPos val="l"/>
        <c:delete val="1"/>
        <c:majorTickMark val="in"/>
        <c:minorTickMark val="none"/>
        <c:tickLblPos val="nextTo"/>
        <c:crossAx val="66754536"/>
        <c:crosses val="max"/>
        <c:crossBetween val="between"/>
        <c:dispUnits/>
      </c:valAx>
      <c:spPr>
        <a:solidFill>
          <a:srgbClr val="C0C0C0"/>
        </a:solidFill>
        <a:ln w="12700">
          <a:solidFill>
            <a:srgbClr val="808080"/>
          </a:solidFill>
        </a:ln>
      </c:spPr>
    </c:plotArea>
    <c:legend>
      <c:legendPos val="r"/>
      <c:layout>
        <c:manualLayout>
          <c:xMode val="edge"/>
          <c:yMode val="edge"/>
          <c:x val="0.2045"/>
          <c:y val="0.931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11</xdr:col>
      <xdr:colOff>19050</xdr:colOff>
      <xdr:row>44</xdr:row>
      <xdr:rowOff>95250</xdr:rowOff>
    </xdr:to>
    <xdr:sp>
      <xdr:nvSpPr>
        <xdr:cNvPr id="1" name="Rectangle 1"/>
        <xdr:cNvSpPr>
          <a:spLocks/>
        </xdr:cNvSpPr>
      </xdr:nvSpPr>
      <xdr:spPr>
        <a:xfrm>
          <a:off x="19050" y="9525"/>
          <a:ext cx="6477000" cy="7210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400" b="0" i="0" u="none" baseline="0">
              <a:solidFill>
                <a:srgbClr val="000080"/>
              </a:solidFill>
            </a:rPr>
            <a:t>This tool is intended to provide a conducive way to analyse RET business ideas for productive use.
- The page </a:t>
          </a:r>
          <a:r>
            <a:rPr lang="en-US" cap="none" sz="1400" b="0" i="0" u="none" baseline="0">
              <a:solidFill>
                <a:srgbClr val="008080"/>
              </a:solidFill>
            </a:rPr>
            <a:t>Assess</a:t>
          </a:r>
          <a:r>
            <a:rPr lang="en-US" cap="none" sz="1400" b="0" i="0" u="none" baseline="0">
              <a:solidFill>
                <a:srgbClr val="000080"/>
              </a:solidFill>
            </a:rPr>
            <a:t> includes a brief description of the business idea and the proponent. 
   It offers a simple calculation to determine whether the proposal can be viable and
   allows an evaluation of the input data by means of a sensitivity analyses
- The page </a:t>
          </a:r>
          <a:r>
            <a:rPr lang="en-US" cap="none" sz="1400" b="0" i="0" u="none" baseline="0">
              <a:solidFill>
                <a:srgbClr val="993300"/>
              </a:solidFill>
            </a:rPr>
            <a:t>Verify</a:t>
          </a:r>
          <a:r>
            <a:rPr lang="en-US" cap="none" sz="1400" b="0" i="0" u="none" baseline="0">
              <a:solidFill>
                <a:srgbClr val="000080"/>
              </a:solidFill>
            </a:rPr>
            <a:t> analyses the competitive ambient, other possible solutions
- The page </a:t>
          </a:r>
          <a:r>
            <a:rPr lang="en-US" cap="none" sz="1400" b="0" i="0" u="none" baseline="0">
              <a:solidFill>
                <a:srgbClr val="800080"/>
              </a:solidFill>
            </a:rPr>
            <a:t>Cashflow</a:t>
          </a:r>
          <a:r>
            <a:rPr lang="en-US" cap="none" sz="1400" b="0" i="0" u="none" baseline="0">
              <a:solidFill>
                <a:srgbClr val="000080"/>
              </a:solidFill>
            </a:rPr>
            <a:t> introduces the cash flow analysis, including financing terms and
   timeline. 
  The business development of the </a:t>
          </a:r>
          <a:r>
            <a:rPr lang="en-US" cap="none" sz="1400" b="0" i="0" u="none" baseline="0">
              <a:solidFill>
                <a:srgbClr val="808080"/>
              </a:solidFill>
            </a:rPr>
            <a:t>first and the first three years</a:t>
          </a:r>
          <a:r>
            <a:rPr lang="en-US" cap="none" sz="1400" b="0" i="0" u="none" baseline="0">
              <a:solidFill>
                <a:srgbClr val="000080"/>
              </a:solidFill>
            </a:rPr>
            <a:t> is graphed 
- The page </a:t>
          </a:r>
          <a:r>
            <a:rPr lang="en-US" cap="none" sz="1400" b="0" i="0" u="none" baseline="0">
              <a:solidFill>
                <a:srgbClr val="808000"/>
              </a:solidFill>
            </a:rPr>
            <a:t>Balance</a:t>
          </a:r>
          <a:r>
            <a:rPr lang="en-US" cap="none" sz="1400" b="0" i="0" u="none" baseline="0">
              <a:solidFill>
                <a:srgbClr val="000080"/>
              </a:solidFill>
            </a:rPr>
            <a:t> shows a balance sheet and the profitability of the business´ first three
   years of operation. 
  These data are the core of a business plan presented to financing institutions.
www.insaba.org
</a:t>
          </a:r>
          <a:r>
            <a:rPr lang="en-US" cap="none" sz="900" b="0" i="0" u="none" baseline="0">
              <a:solidFill>
                <a:srgbClr val="666699"/>
              </a:solidFill>
            </a:rPr>
            <a:t>The algorithms used in this tool were carefully designed and validated however, inaccuracies cannot be excluded particularly if caused by inappropriate or unsuitable input data. It is recommeded therefore, to validate results by competent experts. Any liability from the use or interpretation of the data in this sheet is excluded.
Disclaimer: 
The sole responsibility for the content of these tools lies with the authors. It does not neces-sarily reflect the opinion of the European Communities. The European Commission is not responsible for any use that may be made of the information contained therein.
</a:t>
          </a:r>
        </a:p>
      </xdr:txBody>
    </xdr:sp>
    <xdr:clientData/>
  </xdr:twoCellAnchor>
  <xdr:twoCellAnchor editAs="oneCell">
    <xdr:from>
      <xdr:col>0</xdr:col>
      <xdr:colOff>9525</xdr:colOff>
      <xdr:row>0</xdr:row>
      <xdr:rowOff>9525</xdr:rowOff>
    </xdr:from>
    <xdr:to>
      <xdr:col>11</xdr:col>
      <xdr:colOff>19050</xdr:colOff>
      <xdr:row>5</xdr:row>
      <xdr:rowOff>66675</xdr:rowOff>
    </xdr:to>
    <xdr:pic>
      <xdr:nvPicPr>
        <xdr:cNvPr id="2" name="Picture 2"/>
        <xdr:cNvPicPr preferRelativeResize="1">
          <a:picLocks noChangeAspect="1"/>
        </xdr:cNvPicPr>
      </xdr:nvPicPr>
      <xdr:blipFill>
        <a:blip r:embed="rId1"/>
        <a:stretch>
          <a:fillRect/>
        </a:stretch>
      </xdr:blipFill>
      <xdr:spPr>
        <a:xfrm>
          <a:off x="9525" y="9525"/>
          <a:ext cx="6486525" cy="866775"/>
        </a:xfrm>
        <a:prstGeom prst="rect">
          <a:avLst/>
        </a:prstGeom>
        <a:noFill/>
        <a:ln w="9525" cmpd="sng">
          <a:noFill/>
        </a:ln>
      </xdr:spPr>
    </xdr:pic>
    <xdr:clientData/>
  </xdr:twoCellAnchor>
  <xdr:twoCellAnchor>
    <xdr:from>
      <xdr:col>0</xdr:col>
      <xdr:colOff>66675</xdr:colOff>
      <xdr:row>5</xdr:row>
      <xdr:rowOff>104775</xdr:rowOff>
    </xdr:from>
    <xdr:to>
      <xdr:col>10</xdr:col>
      <xdr:colOff>361950</xdr:colOff>
      <xdr:row>10</xdr:row>
      <xdr:rowOff>76200</xdr:rowOff>
    </xdr:to>
    <xdr:sp>
      <xdr:nvSpPr>
        <xdr:cNvPr id="3" name="AutoShape 3"/>
        <xdr:cNvSpPr>
          <a:spLocks/>
        </xdr:cNvSpPr>
      </xdr:nvSpPr>
      <xdr:spPr>
        <a:xfrm>
          <a:off x="66675" y="914400"/>
          <a:ext cx="6276975" cy="781050"/>
        </a:xfrm>
        <a:prstGeom prst="rect"/>
        <a:noFill/>
      </xdr:spPr>
      <xdr:txBody>
        <a:bodyPr fromWordArt="1" wrap="none">
          <a:prstTxWarp prst="textPlain"/>
        </a:bodyPr>
        <a:p>
          <a:pPr algn="ctr"/>
          <a:r>
            <a:rPr sz="2800" kern="10" spc="0">
              <a:ln w="9525" cmpd="sng">
                <a:noFill/>
              </a:ln>
              <a:solidFill>
                <a:srgbClr val="336699"/>
              </a:solidFill>
              <a:effectLst>
                <a:outerShdw dist="45790" dir="2021404" algn="ctr">
                  <a:srgbClr val="B2B2B2">
                    <a:alpha val="80000"/>
                  </a:srgbClr>
                </a:outerShdw>
              </a:effectLst>
              <a:latin typeface="Times New Roman"/>
              <a:cs typeface="Times New Roman"/>
            </a:rPr>
            <a:t>INSABA
Integrated Southern Africa Business Advisory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5</xdr:col>
      <xdr:colOff>2705100</xdr:colOff>
      <xdr:row>37</xdr:row>
      <xdr:rowOff>0</xdr:rowOff>
    </xdr:to>
    <xdr:graphicFrame>
      <xdr:nvGraphicFramePr>
        <xdr:cNvPr id="1" name="Chart 1"/>
        <xdr:cNvGraphicFramePr/>
      </xdr:nvGraphicFramePr>
      <xdr:xfrm>
        <a:off x="200025" y="9982200"/>
        <a:ext cx="780097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36</xdr:row>
      <xdr:rowOff>66675</xdr:rowOff>
    </xdr:from>
    <xdr:to>
      <xdr:col>5</xdr:col>
      <xdr:colOff>2686050</xdr:colOff>
      <xdr:row>64</xdr:row>
      <xdr:rowOff>9525</xdr:rowOff>
    </xdr:to>
    <xdr:graphicFrame>
      <xdr:nvGraphicFramePr>
        <xdr:cNvPr id="2" name="Chart 2"/>
        <xdr:cNvGraphicFramePr/>
      </xdr:nvGraphicFramePr>
      <xdr:xfrm>
        <a:off x="200025" y="9886950"/>
        <a:ext cx="7781925" cy="4905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7</xdr:col>
      <xdr:colOff>2705100</xdr:colOff>
      <xdr:row>37</xdr:row>
      <xdr:rowOff>0</xdr:rowOff>
    </xdr:to>
    <xdr:graphicFrame>
      <xdr:nvGraphicFramePr>
        <xdr:cNvPr id="1" name="Chart 1"/>
        <xdr:cNvGraphicFramePr/>
      </xdr:nvGraphicFramePr>
      <xdr:xfrm>
        <a:off x="200025" y="9886950"/>
        <a:ext cx="921067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37</xdr:row>
      <xdr:rowOff>0</xdr:rowOff>
    </xdr:from>
    <xdr:to>
      <xdr:col>8</xdr:col>
      <xdr:colOff>104775</xdr:colOff>
      <xdr:row>37</xdr:row>
      <xdr:rowOff>0</xdr:rowOff>
    </xdr:to>
    <xdr:graphicFrame>
      <xdr:nvGraphicFramePr>
        <xdr:cNvPr id="2" name="Chart 2"/>
        <xdr:cNvGraphicFramePr/>
      </xdr:nvGraphicFramePr>
      <xdr:xfrm>
        <a:off x="200025" y="9886950"/>
        <a:ext cx="9324975" cy="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6438900"/>
    <xdr:graphicFrame>
      <xdr:nvGraphicFramePr>
        <xdr:cNvPr id="1" name="Shape 1025"/>
        <xdr:cNvGraphicFramePr/>
      </xdr:nvGraphicFramePr>
      <xdr:xfrm>
        <a:off x="0" y="0"/>
        <a:ext cx="9220200" cy="64389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6086475"/>
    <xdr:graphicFrame>
      <xdr:nvGraphicFramePr>
        <xdr:cNvPr id="1" name="Shape 1025"/>
        <xdr:cNvGraphicFramePr/>
      </xdr:nvGraphicFramePr>
      <xdr:xfrm>
        <a:off x="0" y="0"/>
        <a:ext cx="9220200" cy="6086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62"/>
  </sheetPr>
  <dimension ref="A1:A1"/>
  <sheetViews>
    <sheetView tabSelected="1" workbookViewId="0" topLeftCell="A1">
      <selection activeCell="N16" sqref="N16"/>
    </sheetView>
  </sheetViews>
  <sheetFormatPr defaultColWidth="11.421875" defaultRowHeight="12.75"/>
  <cols>
    <col min="1" max="9" width="9.140625" style="0" customWidth="1"/>
    <col min="10" max="11" width="7.421875" style="0" customWidth="1"/>
    <col min="12" max="16384" width="9.140625" style="0" customWidth="1"/>
  </cols>
  <sheetData/>
  <printOptions/>
  <pageMargins left="0.3937007874015748" right="0.3937007874015748" top="0" bottom="0"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1"/>
    <pageSetUpPr fitToPage="1"/>
  </sheetPr>
  <dimension ref="A1:W65"/>
  <sheetViews>
    <sheetView zoomScale="60" zoomScaleNormal="60" workbookViewId="0" topLeftCell="A1">
      <selection activeCell="F6" sqref="F6"/>
    </sheetView>
  </sheetViews>
  <sheetFormatPr defaultColWidth="11.421875" defaultRowHeight="12.75"/>
  <cols>
    <col min="1" max="1" width="3.00390625" style="0" customWidth="1"/>
    <col min="2" max="2" width="17.421875" style="0" customWidth="1"/>
    <col min="3" max="3" width="9.8515625" style="0" customWidth="1"/>
    <col min="4" max="4" width="10.57421875" style="0" customWidth="1"/>
    <col min="5" max="5" width="38.57421875" style="0" customWidth="1"/>
    <col min="6" max="6" width="40.7109375" style="4" customWidth="1"/>
    <col min="7" max="7" width="4.57421875" style="0" customWidth="1"/>
    <col min="8" max="9" width="9.140625" style="0" customWidth="1"/>
    <col min="10" max="10" width="9.421875" style="0" bestFit="1" customWidth="1"/>
    <col min="11" max="11" width="9.140625" style="0" customWidth="1"/>
    <col min="12" max="12" width="9.28125" style="0" bestFit="1" customWidth="1"/>
    <col min="13" max="13" width="9.140625" style="0" customWidth="1"/>
    <col min="14" max="14" width="9.28125" style="0" bestFit="1" customWidth="1"/>
    <col min="15" max="16384" width="9.140625" style="0" customWidth="1"/>
  </cols>
  <sheetData>
    <row r="1" spans="2:13" ht="20.25">
      <c r="B1" s="1" t="s">
        <v>0</v>
      </c>
      <c r="C1" s="2"/>
      <c r="D1" s="2"/>
      <c r="E1" s="2"/>
      <c r="F1" s="3"/>
      <c r="H1" s="84" t="s">
        <v>54</v>
      </c>
      <c r="I1" s="84"/>
      <c r="J1" s="84"/>
      <c r="K1" s="84"/>
      <c r="L1" s="84"/>
      <c r="M1" s="84"/>
    </row>
    <row r="2" ht="13.5" thickBot="1">
      <c r="H2" t="s">
        <v>55</v>
      </c>
    </row>
    <row r="3" spans="1:13" ht="14.25">
      <c r="A3" s="5"/>
      <c r="B3" s="6" t="s">
        <v>1</v>
      </c>
      <c r="C3" s="7"/>
      <c r="D3" s="8"/>
      <c r="E3" s="9" t="s">
        <v>71</v>
      </c>
      <c r="F3" s="10"/>
      <c r="H3" s="83" t="s">
        <v>56</v>
      </c>
      <c r="I3" s="83"/>
      <c r="J3" s="83"/>
      <c r="K3" s="83"/>
      <c r="L3" s="83"/>
      <c r="M3" s="83"/>
    </row>
    <row r="4" spans="1:6" ht="14.25">
      <c r="A4" s="5"/>
      <c r="B4" s="11" t="s">
        <v>200</v>
      </c>
      <c r="C4" s="12"/>
      <c r="D4" s="12"/>
      <c r="E4" s="13" t="s">
        <v>72</v>
      </c>
      <c r="F4" s="14"/>
    </row>
    <row r="5" spans="1:6" ht="14.25">
      <c r="A5" s="5"/>
      <c r="B5" s="15" t="s">
        <v>2</v>
      </c>
      <c r="C5" s="16"/>
      <c r="D5" s="17"/>
      <c r="E5" s="13" t="s">
        <v>73</v>
      </c>
      <c r="F5" s="14"/>
    </row>
    <row r="6" spans="1:6" ht="15" thickBot="1">
      <c r="A6" s="5"/>
      <c r="B6" s="18" t="s">
        <v>3</v>
      </c>
      <c r="C6" s="19"/>
      <c r="D6" s="19"/>
      <c r="E6" s="20" t="s">
        <v>74</v>
      </c>
      <c r="F6" s="21"/>
    </row>
    <row r="8" ht="13.5" thickBot="1"/>
    <row r="9" spans="2:13" ht="18.75" thickBot="1">
      <c r="B9" s="22" t="s">
        <v>52</v>
      </c>
      <c r="C9" s="23"/>
      <c r="D9" s="24"/>
      <c r="E9" s="25" t="s">
        <v>75</v>
      </c>
      <c r="F9" s="26"/>
      <c r="H9" s="83" t="s">
        <v>59</v>
      </c>
      <c r="I9" s="83"/>
      <c r="J9" s="83"/>
      <c r="K9" s="83"/>
      <c r="L9" s="83"/>
      <c r="M9" s="83"/>
    </row>
    <row r="10" spans="2:13" ht="15" thickTop="1">
      <c r="B10" s="15" t="s">
        <v>4</v>
      </c>
      <c r="C10" s="15"/>
      <c r="D10" s="15"/>
      <c r="E10" s="15"/>
      <c r="F10" s="27">
        <v>5</v>
      </c>
      <c r="H10" s="83" t="s">
        <v>60</v>
      </c>
      <c r="I10" s="83"/>
      <c r="J10" s="83"/>
      <c r="K10" s="83"/>
      <c r="L10" s="83"/>
      <c r="M10" s="83"/>
    </row>
    <row r="11" spans="2:8" ht="14.25">
      <c r="B11" s="11" t="s">
        <v>5</v>
      </c>
      <c r="C11" s="12"/>
      <c r="D11" s="12"/>
      <c r="E11" s="12"/>
      <c r="F11" s="27">
        <v>4</v>
      </c>
      <c r="H11" t="s">
        <v>57</v>
      </c>
    </row>
    <row r="12" spans="2:13" ht="14.25">
      <c r="B12" s="15" t="s">
        <v>157</v>
      </c>
      <c r="C12" s="16"/>
      <c r="D12" s="16"/>
      <c r="E12" s="16" t="s">
        <v>6</v>
      </c>
      <c r="F12" s="27">
        <v>5</v>
      </c>
      <c r="H12" s="83" t="s">
        <v>58</v>
      </c>
      <c r="I12" s="83"/>
      <c r="J12" s="83"/>
      <c r="K12" s="83"/>
      <c r="L12" s="83"/>
      <c r="M12" s="83"/>
    </row>
    <row r="13" spans="2:6" ht="14.25">
      <c r="B13" s="11" t="s">
        <v>7</v>
      </c>
      <c r="C13" s="12"/>
      <c r="D13" s="12"/>
      <c r="E13" s="12" t="s">
        <v>8</v>
      </c>
      <c r="F13" s="27">
        <v>5</v>
      </c>
    </row>
    <row r="14" spans="2:6" ht="14.25">
      <c r="B14" s="15" t="s">
        <v>9</v>
      </c>
      <c r="C14" s="16"/>
      <c r="D14" s="16"/>
      <c r="E14" s="16" t="s">
        <v>10</v>
      </c>
      <c r="F14" s="27">
        <v>5</v>
      </c>
    </row>
    <row r="15" spans="1:8" ht="15" thickBot="1">
      <c r="A15" s="28"/>
      <c r="B15" s="29" t="s">
        <v>11</v>
      </c>
      <c r="C15" s="30"/>
      <c r="D15" s="30"/>
      <c r="E15" s="30"/>
      <c r="F15" s="31">
        <v>3</v>
      </c>
      <c r="H15" t="s">
        <v>61</v>
      </c>
    </row>
    <row r="16" spans="1:13" ht="16.5" thickBot="1" thickTop="1">
      <c r="A16" s="28"/>
      <c r="B16" s="81" t="s">
        <v>12</v>
      </c>
      <c r="C16" s="19"/>
      <c r="D16" s="19"/>
      <c r="E16" s="19"/>
      <c r="F16" s="82">
        <f>SUM(F10:F15)</f>
        <v>27</v>
      </c>
      <c r="H16" s="83" t="s">
        <v>62</v>
      </c>
      <c r="I16" s="83"/>
      <c r="J16" s="83"/>
      <c r="K16" s="83"/>
      <c r="L16" s="83"/>
      <c r="M16" s="83"/>
    </row>
    <row r="19" spans="2:6" ht="18.75" thickBot="1">
      <c r="B19" s="32" t="s">
        <v>13</v>
      </c>
      <c r="C19" s="32"/>
      <c r="D19" s="32"/>
      <c r="E19" s="32"/>
      <c r="F19" s="32"/>
    </row>
    <row r="20" spans="1:6" ht="15" thickBot="1">
      <c r="A20" s="33"/>
      <c r="B20" s="34"/>
      <c r="C20" s="282" t="s">
        <v>63</v>
      </c>
      <c r="D20" s="283"/>
      <c r="E20" s="35" t="s">
        <v>14</v>
      </c>
      <c r="F20" s="36" t="s">
        <v>15</v>
      </c>
    </row>
    <row r="21" spans="1:6" ht="29.25" thickBot="1">
      <c r="A21" s="33"/>
      <c r="B21" s="34" t="s">
        <v>16</v>
      </c>
      <c r="C21" s="284">
        <v>9956.802698458716</v>
      </c>
      <c r="D21" s="285"/>
      <c r="E21" s="37" t="s">
        <v>64</v>
      </c>
      <c r="F21" s="38" t="s">
        <v>17</v>
      </c>
    </row>
    <row r="22" spans="1:6" ht="29.25" thickBot="1">
      <c r="A22" s="33"/>
      <c r="B22" s="34" t="s">
        <v>18</v>
      </c>
      <c r="C22" s="284">
        <v>5</v>
      </c>
      <c r="D22" s="285"/>
      <c r="E22" s="37" t="s">
        <v>65</v>
      </c>
      <c r="F22" s="38" t="s">
        <v>19</v>
      </c>
    </row>
    <row r="23" spans="1:6" ht="26.25" thickBot="1">
      <c r="A23" s="33"/>
      <c r="B23" s="34" t="s">
        <v>20</v>
      </c>
      <c r="C23" s="284">
        <v>520</v>
      </c>
      <c r="D23" s="285"/>
      <c r="E23" s="86" t="s">
        <v>66</v>
      </c>
      <c r="F23" s="38" t="s">
        <v>21</v>
      </c>
    </row>
    <row r="24" spans="1:6" ht="18.75" thickBot="1">
      <c r="A24" s="33"/>
      <c r="B24" s="34" t="s">
        <v>22</v>
      </c>
      <c r="C24" s="293">
        <v>19.5</v>
      </c>
      <c r="D24" s="294"/>
      <c r="E24" s="37" t="s">
        <v>67</v>
      </c>
      <c r="F24" s="38" t="s">
        <v>23</v>
      </c>
    </row>
    <row r="25" spans="1:6" ht="18.75" thickBot="1">
      <c r="A25" s="33"/>
      <c r="B25" s="34" t="s">
        <v>24</v>
      </c>
      <c r="C25" s="295">
        <f>+C23*C24</f>
        <v>10140</v>
      </c>
      <c r="D25" s="296"/>
      <c r="E25" s="87" t="s">
        <v>155</v>
      </c>
      <c r="F25" s="38" t="s">
        <v>25</v>
      </c>
    </row>
    <row r="26" spans="1:6" ht="90" thickBot="1">
      <c r="A26" s="33"/>
      <c r="B26" s="39" t="s">
        <v>26</v>
      </c>
      <c r="C26" s="293">
        <v>8</v>
      </c>
      <c r="D26" s="294"/>
      <c r="E26" s="85" t="s">
        <v>68</v>
      </c>
      <c r="F26" s="38" t="s">
        <v>27</v>
      </c>
    </row>
    <row r="27" spans="1:6" ht="29.25" thickBot="1">
      <c r="A27" s="33"/>
      <c r="B27" s="34" t="s">
        <v>28</v>
      </c>
      <c r="C27" s="284"/>
      <c r="D27" s="285"/>
      <c r="E27" s="37" t="s">
        <v>69</v>
      </c>
      <c r="F27" s="40" t="s">
        <v>29</v>
      </c>
    </row>
    <row r="28" spans="1:6" ht="26.25" customHeight="1" thickBot="1">
      <c r="A28" s="33"/>
      <c r="B28" s="34" t="s">
        <v>30</v>
      </c>
      <c r="C28" s="284">
        <v>1000</v>
      </c>
      <c r="D28" s="285"/>
      <c r="E28" s="37" t="s">
        <v>70</v>
      </c>
      <c r="F28" s="38" t="s">
        <v>31</v>
      </c>
    </row>
    <row r="29" spans="1:6" ht="26.25" thickBot="1">
      <c r="A29" s="33"/>
      <c r="B29" s="34" t="s">
        <v>32</v>
      </c>
      <c r="C29" s="41">
        <f>C21/(C22*C23)</f>
        <v>3.8295394994071983</v>
      </c>
      <c r="D29" s="42">
        <f>+C21/C22</f>
        <v>1991.3605396917433</v>
      </c>
      <c r="E29" s="288"/>
      <c r="F29" s="38" t="s">
        <v>33</v>
      </c>
    </row>
    <row r="30" spans="1:6" ht="29.25" thickBot="1">
      <c r="A30" s="33"/>
      <c r="B30" s="43" t="s">
        <v>34</v>
      </c>
      <c r="C30" s="44">
        <f>C26+C29+C27</f>
        <v>11.829539499407199</v>
      </c>
      <c r="D30" s="42">
        <f>C23*C30</f>
        <v>6151.360539691744</v>
      </c>
      <c r="E30" s="289"/>
      <c r="F30" s="38" t="s">
        <v>35</v>
      </c>
    </row>
    <row r="31" spans="1:6" ht="26.25" thickBot="1">
      <c r="A31" s="33"/>
      <c r="B31" s="34" t="s">
        <v>36</v>
      </c>
      <c r="C31" s="41">
        <f>C24-C30</f>
        <v>7.670460500592801</v>
      </c>
      <c r="D31" s="42"/>
      <c r="E31" s="289"/>
      <c r="F31" s="38" t="s">
        <v>37</v>
      </c>
    </row>
    <row r="32" spans="1:6" ht="26.25" thickBot="1">
      <c r="A32" s="33"/>
      <c r="B32" s="45" t="s">
        <v>38</v>
      </c>
      <c r="C32" s="41">
        <f>C28/C23</f>
        <v>1.9230769230769231</v>
      </c>
      <c r="D32" s="42"/>
      <c r="E32" s="289"/>
      <c r="F32" s="38" t="s">
        <v>39</v>
      </c>
    </row>
    <row r="33" spans="1:6" ht="15.75" thickBot="1">
      <c r="A33" s="33"/>
      <c r="B33" s="46" t="s">
        <v>40</v>
      </c>
      <c r="C33" s="41">
        <f>C30+C32</f>
        <v>13.752616422484122</v>
      </c>
      <c r="D33" s="47">
        <f>C23*C33</f>
        <v>7151.360539691744</v>
      </c>
      <c r="E33" s="289"/>
      <c r="F33" s="48" t="s">
        <v>51</v>
      </c>
    </row>
    <row r="34" spans="1:6" ht="17.25" thickBot="1" thickTop="1">
      <c r="A34" s="33"/>
      <c r="B34" s="49" t="s">
        <v>41</v>
      </c>
      <c r="C34" s="50">
        <f>C24-C33</f>
        <v>5.747383577515878</v>
      </c>
      <c r="D34" s="51">
        <f>C23*C34</f>
        <v>2988.6394603082567</v>
      </c>
      <c r="E34" s="289"/>
      <c r="F34" s="52" t="s">
        <v>42</v>
      </c>
    </row>
    <row r="35" spans="1:6" ht="26.25" thickBot="1">
      <c r="A35" s="33"/>
      <c r="B35" s="53" t="s">
        <v>43</v>
      </c>
      <c r="C35" s="291">
        <f>D34/C21</f>
        <v>0.30016055864709357</v>
      </c>
      <c r="D35" s="292"/>
      <c r="E35" s="289"/>
      <c r="F35" s="38" t="s">
        <v>44</v>
      </c>
    </row>
    <row r="36" spans="1:6" ht="39" thickBot="1">
      <c r="A36" s="54"/>
      <c r="B36" s="55" t="s">
        <v>53</v>
      </c>
      <c r="C36" s="286">
        <f>C21/(D34+D29)</f>
        <v>1.9993579715780554</v>
      </c>
      <c r="D36" s="287"/>
      <c r="E36" s="290"/>
      <c r="F36" s="56" t="s">
        <v>50</v>
      </c>
    </row>
    <row r="37" ht="12.75">
      <c r="B37" s="57"/>
    </row>
    <row r="40" spans="16:18" ht="18.75" thickBot="1">
      <c r="P40" s="61" t="s">
        <v>45</v>
      </c>
      <c r="Q40" s="60"/>
      <c r="R40" s="60"/>
    </row>
    <row r="41" spans="16:23" ht="39" thickBot="1">
      <c r="P41" s="62" t="s">
        <v>43</v>
      </c>
      <c r="Q41" s="62" t="s">
        <v>46</v>
      </c>
      <c r="R41" s="63" t="s">
        <v>18</v>
      </c>
      <c r="S41" s="63" t="s">
        <v>47</v>
      </c>
      <c r="T41" s="63" t="s">
        <v>22</v>
      </c>
      <c r="U41" s="63" t="s">
        <v>48</v>
      </c>
      <c r="V41" s="63" t="s">
        <v>28</v>
      </c>
      <c r="W41" s="64" t="s">
        <v>49</v>
      </c>
    </row>
    <row r="42" spans="16:23" ht="12.75">
      <c r="P42" s="65">
        <v>-0.2</v>
      </c>
      <c r="Q42" s="66">
        <f>($C$23*$C$24-(0.8*$C$21/$C$22/$C$23+$C$26+$C$27)*$C$23-$C$28)/(0.8*C21)</f>
        <v>0.4252006983088669</v>
      </c>
      <c r="R42" s="66">
        <f>($C$23*$C$24-($C$21/(0.8*$C$22)/$C$23+$C$26+$C$27)*$C$23-$C$28)/C21</f>
        <v>0.2501605586470936</v>
      </c>
      <c r="S42" s="66">
        <f>(0.8*$C$23*$C$24-($C$21/($C$22)/(0.8*$C$23)+C26+$C$27)*0.8*$C$23-$C$28)/C21</f>
        <v>0.18004167749409675</v>
      </c>
      <c r="T42" s="66">
        <f>($C$23*0.8*$C$24-($C$21/($C$22)/$C$23+$C$26+$C$27)*$C$23-$C$28)/C21</f>
        <v>0.09648071669201204</v>
      </c>
      <c r="U42" s="66">
        <f>($C$23*$C$24-($C$21/($C$22)/$C$23+0.8*$C$26+$C$27)*$C$23-$C$28)/C21</f>
        <v>0.3837215194491782</v>
      </c>
      <c r="V42" s="66">
        <f>($C$23*$C$24-($C$21/($C$22)/$C$23+$C$26+0.8*$C$27)*$C$23-$C$28)/C21</f>
        <v>0.3001605586470935</v>
      </c>
      <c r="W42" s="66">
        <f>($C$23*$C$24-($C$21/($C$22)/$C$23+$C$26+$C$27)*$C$23-$C$28*0.8)/C21</f>
        <v>0.3202473280706716</v>
      </c>
    </row>
    <row r="43" spans="16:23" ht="12.75">
      <c r="P43" s="67">
        <v>-0.1</v>
      </c>
      <c r="Q43" s="68">
        <f>($C$23*$C$24-(0.9*$C$21/$C$22/$C$23+$C$26+$C$27)*$C$23-$C$28)/(0.9*C21)</f>
        <v>0.35573395405232605</v>
      </c>
      <c r="R43" s="69">
        <f>($C$23*$C$24-($C$21/(0.9*$C$22)/$C$23+$C$26+$C$27)*$C$23-$C$28)/C21</f>
        <v>0.2779383364248713</v>
      </c>
      <c r="S43" s="69">
        <f>(0.9*$C$23*$C$24-($C$21/($C$22)/(0.9*$C$23)+C26+$C$27)*0.9*$C$23-$C$28)/C21</f>
        <v>0.24010111807059523</v>
      </c>
      <c r="T43" s="69">
        <f>($C$23*0.9*$C$24-($C$21/($C$22)/$C$23+$C$26+$C$27)*$C$23-$C$28)/C21</f>
        <v>0.19832063766955277</v>
      </c>
      <c r="U43" s="69">
        <f>($C$23*$C$24-($C$21/($C$22)/$C$23+0.9*$C$26+$C$27)*$C$23-$C$28)/C21</f>
        <v>0.3419410390481359</v>
      </c>
      <c r="V43" s="69">
        <f>($C$23*$C$24-($C$21/($C$22)/$C$23+$C$26+0.9*$C$27)*$C$23-$C$28)/C21</f>
        <v>0.3001605586470935</v>
      </c>
      <c r="W43" s="70">
        <f>($C$23*$C$24-($C$21/($C$22)/$C$23+$C$26+$C$27)*$C$23-$C$28*0.9)/C21</f>
        <v>0.3102039433588825</v>
      </c>
    </row>
    <row r="44" spans="16:23" ht="12.75">
      <c r="P44" s="67">
        <v>0</v>
      </c>
      <c r="Q44" s="69">
        <f>C35</f>
        <v>0.30016055864709357</v>
      </c>
      <c r="R44" s="69">
        <f>C35</f>
        <v>0.30016055864709357</v>
      </c>
      <c r="S44" s="69">
        <f>C35</f>
        <v>0.30016055864709357</v>
      </c>
      <c r="T44" s="69">
        <f>C35</f>
        <v>0.30016055864709357</v>
      </c>
      <c r="U44" s="69">
        <f>C35</f>
        <v>0.30016055864709357</v>
      </c>
      <c r="V44" s="69">
        <f>C35</f>
        <v>0.30016055864709357</v>
      </c>
      <c r="W44" s="70">
        <f>C35</f>
        <v>0.30016055864709357</v>
      </c>
    </row>
    <row r="45" spans="16:23" ht="12.75">
      <c r="P45" s="67">
        <v>0.1</v>
      </c>
      <c r="Q45" s="68">
        <f>($C$23*$C$24-(1.1*$C$21/$C$22/$C$23+$C$26+$C$27)*$C$23-$C$28)/(1.1*C21)</f>
        <v>0.25469141695190317</v>
      </c>
      <c r="R45" s="69">
        <f>($C$23*$C$24-($C$21/(1.1*$C$22)/$C$23+$C$26+$C$27)*$C$23-$C$28)/C21</f>
        <v>0.31834237682891164</v>
      </c>
      <c r="S45" s="69">
        <f>(1.1*$C$23*$C$24-($C$21/($C$22)/(1.1*$C$23)+C26+$C$27)*1.1*$C$23-$C$28)/C21</f>
        <v>0.3602199992235918</v>
      </c>
      <c r="T45" s="69">
        <f>($C$23*1.1*$C$24-($C$21/($C$22)/$C$23+$C$26+$C$27)*$C$23-$C$28)/C21</f>
        <v>0.40200047962463425</v>
      </c>
      <c r="U45" s="69">
        <f>($C$23*$C$24-($C$21/($C$22)/$C$23+1.1*$C$26+$C$27)*$C$23-$C$28)/C21</f>
        <v>0.25838007824605114</v>
      </c>
      <c r="V45" s="69">
        <f>($C$23*$C$24-($C$21/($C$22)/$C$23+$C$26+1.1*$C$27)*$C$23-$C$28)/C21</f>
        <v>0.3001605586470935</v>
      </c>
      <c r="W45" s="70">
        <f>($C$23*$C$24-($C$21/($C$22)/$C$23+$C$26+$C$27)*$C$23-$C$28*1.1)/C21</f>
        <v>0.2901171739353045</v>
      </c>
    </row>
    <row r="46" spans="16:23" ht="13.5" thickBot="1">
      <c r="P46" s="71">
        <v>0.2</v>
      </c>
      <c r="Q46" s="72">
        <f>($C$23*$C$24-(1.2*$C$21/$C$22/$C$23+$C$26+$C$27)*$C$23-$C$28)/(1.2*C21)</f>
        <v>0.21680046553924462</v>
      </c>
      <c r="R46" s="73">
        <f>($C$23*$C$24-($C$21/(1.2*$C$22)/$C$23+$C$26+$C$27)*$C$23-$C$28)/C21</f>
        <v>0.33349389198042684</v>
      </c>
      <c r="S46" s="73">
        <f>(1.2*$C$23*$C$24-($C$21/($C$22)/(1.2*$C$23)+C26+$C$27)*1.2*$C$23-$C$28)/C21</f>
        <v>0.42027943980009036</v>
      </c>
      <c r="T46" s="73">
        <f>($C$23*1.2*$C$24-($C$21/($C$22)/$C$23+$C$26+$C$27)*$C$23-$C$28)/C21</f>
        <v>0.5038404006021749</v>
      </c>
      <c r="U46" s="73">
        <f>($C$23*$C$24-($C$21/($C$22)/$C$23+1.2*$C$26+$C$27)*$C$23-$C$28)/C21</f>
        <v>0.2165995978450089</v>
      </c>
      <c r="V46" s="73">
        <f>($C$23*$C$24-($C$21/($C$22)/$C$23+$C$26+1.2*$C$27)*$C$23-$C$28)/C21</f>
        <v>0.3001605586470935</v>
      </c>
      <c r="W46" s="74">
        <f>($C$23*$C$24-($C$21/($C$22)/$C$23+$C$26+$C$27)*$C$23-$C$28*1.2)/C21</f>
        <v>0.28007378922351545</v>
      </c>
    </row>
    <row r="47" spans="16:23" ht="12.75">
      <c r="P47" s="75">
        <v>-0.2</v>
      </c>
      <c r="Q47" s="76">
        <f aca="true" t="shared" si="0" ref="Q47:W47">IF(Q44&lt;0,-(Q42-Q44)/Q44,(Q42-Q44)/Q44)</f>
        <v>0.41657751513178065</v>
      </c>
      <c r="R47" s="76">
        <f t="shared" si="0"/>
        <v>-0.16657751513178073</v>
      </c>
      <c r="S47" s="76">
        <f t="shared" si="0"/>
        <v>-0.4001820948575181</v>
      </c>
      <c r="T47" s="76">
        <f t="shared" si="0"/>
        <v>-0.6785696391062263</v>
      </c>
      <c r="U47" s="76">
        <f t="shared" si="0"/>
        <v>0.2783875442487079</v>
      </c>
      <c r="V47" s="76">
        <f t="shared" si="0"/>
        <v>-1.8493819268414844E-16</v>
      </c>
      <c r="W47" s="77">
        <f t="shared" si="0"/>
        <v>0.06692008275209314</v>
      </c>
    </row>
    <row r="48" spans="16:23" ht="12.75">
      <c r="P48" s="67">
        <v>-0.1</v>
      </c>
      <c r="Q48" s="68">
        <f aca="true" t="shared" si="1" ref="Q48:W48">IF(Q44&lt;0,-(Q43-Q44)/Q44,(Q43-Q44)/Q44)</f>
        <v>0.18514556228079102</v>
      </c>
      <c r="R48" s="69">
        <f t="shared" si="1"/>
        <v>-0.07403445116968045</v>
      </c>
      <c r="S48" s="69">
        <f t="shared" si="1"/>
        <v>-0.20009104742875883</v>
      </c>
      <c r="T48" s="69">
        <f t="shared" si="1"/>
        <v>-0.33928481955311324</v>
      </c>
      <c r="U48" s="69">
        <f t="shared" si="1"/>
        <v>0.13919377212435394</v>
      </c>
      <c r="V48" s="69">
        <f t="shared" si="1"/>
        <v>-1.8493819268414844E-16</v>
      </c>
      <c r="W48" s="78">
        <f t="shared" si="1"/>
        <v>0.03346004137604639</v>
      </c>
    </row>
    <row r="49" spans="16:23" ht="12.75">
      <c r="P49" s="67">
        <v>0</v>
      </c>
      <c r="Q49" s="79">
        <f aca="true" t="shared" si="2" ref="Q49:W49">(Q44-Q44)/Q44</f>
        <v>0</v>
      </c>
      <c r="R49" s="60">
        <f t="shared" si="2"/>
        <v>0</v>
      </c>
      <c r="S49" s="60">
        <f t="shared" si="2"/>
        <v>0</v>
      </c>
      <c r="T49" s="60">
        <f t="shared" si="2"/>
        <v>0</v>
      </c>
      <c r="U49" s="60">
        <f t="shared" si="2"/>
        <v>0</v>
      </c>
      <c r="V49" s="60">
        <f t="shared" si="2"/>
        <v>0</v>
      </c>
      <c r="W49" s="28">
        <f t="shared" si="2"/>
        <v>0</v>
      </c>
    </row>
    <row r="50" spans="16:23" ht="12.75">
      <c r="P50" s="67">
        <v>0.1</v>
      </c>
      <c r="Q50" s="68">
        <f aca="true" t="shared" si="3" ref="Q50:W50">IF(Q44&lt;0,-(Q45-Q44)/Q44,(Q45-Q44)/Q44)</f>
        <v>-0.15148273277519325</v>
      </c>
      <c r="R50" s="69">
        <f t="shared" si="3"/>
        <v>0.06057364186610175</v>
      </c>
      <c r="S50" s="69">
        <f t="shared" si="3"/>
        <v>0.20009104742875855</v>
      </c>
      <c r="T50" s="69">
        <f t="shared" si="3"/>
        <v>0.33928481955311285</v>
      </c>
      <c r="U50" s="69">
        <f t="shared" si="3"/>
        <v>-0.13919377212435433</v>
      </c>
      <c r="V50" s="69">
        <f t="shared" si="3"/>
        <v>-1.8493819268414844E-16</v>
      </c>
      <c r="W50" s="78">
        <f t="shared" si="3"/>
        <v>-0.03346004137604676</v>
      </c>
    </row>
    <row r="51" spans="16:23" ht="13.5" thickBot="1">
      <c r="P51" s="71">
        <v>0.2</v>
      </c>
      <c r="Q51" s="72">
        <f aca="true" t="shared" si="4" ref="Q51:W51">IF(Q44&lt;0,-(Q46-Q44)/Q44,(Q46-Q44)/Q44)</f>
        <v>-0.27771834342118723</v>
      </c>
      <c r="R51" s="73">
        <f t="shared" si="4"/>
        <v>0.11105167675452031</v>
      </c>
      <c r="S51" s="73">
        <f t="shared" si="4"/>
        <v>0.400182094857518</v>
      </c>
      <c r="T51" s="73">
        <f t="shared" si="4"/>
        <v>0.6785696391062257</v>
      </c>
      <c r="U51" s="73">
        <f t="shared" si="4"/>
        <v>-0.278387544248708</v>
      </c>
      <c r="V51" s="73">
        <f t="shared" si="4"/>
        <v>-1.8493819268414844E-16</v>
      </c>
      <c r="W51" s="74">
        <f t="shared" si="4"/>
        <v>-0.06692008275209352</v>
      </c>
    </row>
    <row r="54" ht="12.75" customHeight="1"/>
    <row r="59" ht="12.75">
      <c r="L59" s="80"/>
    </row>
    <row r="60" ht="12.75">
      <c r="L60" s="80"/>
    </row>
    <row r="65" spans="2:6" ht="12.75">
      <c r="B65" s="58"/>
      <c r="C65" s="58"/>
      <c r="D65" s="58"/>
      <c r="E65" s="58"/>
      <c r="F65" s="59"/>
    </row>
  </sheetData>
  <mergeCells count="12">
    <mergeCell ref="C36:D36"/>
    <mergeCell ref="E29:E36"/>
    <mergeCell ref="C35:D35"/>
    <mergeCell ref="C24:D24"/>
    <mergeCell ref="C25:D25"/>
    <mergeCell ref="C26:D26"/>
    <mergeCell ref="C27:D27"/>
    <mergeCell ref="C28:D28"/>
    <mergeCell ref="C20:D20"/>
    <mergeCell ref="C21:D21"/>
    <mergeCell ref="C22:D22"/>
    <mergeCell ref="C23:D23"/>
  </mergeCells>
  <printOptions horizontalCentered="1"/>
  <pageMargins left="0.7874015748031497" right="0.5905511811023623" top="0.3937007874015748" bottom="0.7874015748031497" header="0.5118110236220472" footer="0.5118110236220472"/>
  <pageSetup fitToHeight="1" fitToWidth="1"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sheetPr>
    <tabColor indexed="16"/>
    <pageSetUpPr fitToPage="1"/>
  </sheetPr>
  <dimension ref="A1:H37"/>
  <sheetViews>
    <sheetView zoomScale="60" zoomScaleNormal="60" workbookViewId="0" topLeftCell="B1">
      <selection activeCell="B19" sqref="B19:G36"/>
    </sheetView>
  </sheetViews>
  <sheetFormatPr defaultColWidth="11.421875" defaultRowHeight="12.75"/>
  <cols>
    <col min="1" max="1" width="3.00390625" style="0" customWidth="1"/>
    <col min="2" max="2" width="17.421875" style="0" customWidth="1"/>
    <col min="3" max="3" width="9.8515625" style="0" customWidth="1"/>
    <col min="4" max="6" width="10.57421875" style="0" customWidth="1"/>
    <col min="7" max="7" width="38.57421875" style="0" customWidth="1"/>
    <col min="8" max="8" width="40.7109375" style="4" customWidth="1"/>
    <col min="9" max="9" width="4.7109375" style="0" customWidth="1"/>
    <col min="10" max="16384" width="9.140625" style="0" customWidth="1"/>
  </cols>
  <sheetData>
    <row r="1" spans="2:8" ht="20.25">
      <c r="B1" s="1" t="s">
        <v>175</v>
      </c>
      <c r="C1" s="2"/>
      <c r="D1" s="2"/>
      <c r="E1" s="2"/>
      <c r="F1" s="2"/>
      <c r="G1" s="2"/>
      <c r="H1" s="84" t="s">
        <v>182</v>
      </c>
    </row>
    <row r="2" ht="13.5" thickBot="1">
      <c r="H2" t="s">
        <v>183</v>
      </c>
    </row>
    <row r="3" spans="1:8" s="193" customFormat="1" ht="14.25">
      <c r="A3" s="195"/>
      <c r="B3" s="196" t="s">
        <v>1</v>
      </c>
      <c r="C3" s="197"/>
      <c r="D3" s="205" t="s">
        <v>71</v>
      </c>
      <c r="E3" s="205"/>
      <c r="F3" s="205"/>
      <c r="G3" s="206"/>
      <c r="H3" s="83" t="s">
        <v>56</v>
      </c>
    </row>
    <row r="4" spans="1:8" s="193" customFormat="1" ht="14.25">
      <c r="A4" s="195"/>
      <c r="B4" s="198" t="s">
        <v>200</v>
      </c>
      <c r="C4" s="199"/>
      <c r="D4" s="207" t="s">
        <v>72</v>
      </c>
      <c r="E4" s="207"/>
      <c r="F4" s="207"/>
      <c r="G4" s="208"/>
      <c r="H4"/>
    </row>
    <row r="5" spans="1:8" s="193" customFormat="1" ht="14.25">
      <c r="A5" s="195"/>
      <c r="B5" s="200" t="s">
        <v>2</v>
      </c>
      <c r="C5" s="201"/>
      <c r="D5" s="207" t="s">
        <v>73</v>
      </c>
      <c r="E5" s="207"/>
      <c r="F5" s="207"/>
      <c r="G5" s="208"/>
      <c r="H5"/>
    </row>
    <row r="6" spans="1:8" s="193" customFormat="1" ht="15" thickBot="1">
      <c r="A6" s="195"/>
      <c r="B6" s="202" t="s">
        <v>3</v>
      </c>
      <c r="C6" s="203"/>
      <c r="D6" s="209" t="s">
        <v>74</v>
      </c>
      <c r="E6" s="209"/>
      <c r="F6" s="209"/>
      <c r="G6" s="210"/>
      <c r="H6"/>
    </row>
    <row r="7" s="193" customFormat="1" ht="12.75">
      <c r="H7"/>
    </row>
    <row r="8" spans="2:8" s="193" customFormat="1" ht="18.75" thickBot="1">
      <c r="B8" s="194" t="s">
        <v>171</v>
      </c>
      <c r="C8" s="194"/>
      <c r="D8" s="194"/>
      <c r="E8" s="194"/>
      <c r="F8" s="194"/>
      <c r="G8" s="194"/>
      <c r="H8" s="83" t="s">
        <v>184</v>
      </c>
    </row>
    <row r="9" spans="2:8" s="193" customFormat="1" ht="27" customHeight="1">
      <c r="B9" s="196" t="s">
        <v>170</v>
      </c>
      <c r="C9" s="197"/>
      <c r="D9" s="297" t="s">
        <v>174</v>
      </c>
      <c r="E9" s="297"/>
      <c r="F9" s="297"/>
      <c r="G9" s="298"/>
      <c r="H9" s="193" t="s">
        <v>185</v>
      </c>
    </row>
    <row r="10" spans="2:8" s="193" customFormat="1" ht="24" customHeight="1">
      <c r="B10" s="198" t="s">
        <v>172</v>
      </c>
      <c r="C10" s="199"/>
      <c r="D10" s="299" t="s">
        <v>177</v>
      </c>
      <c r="E10" s="299"/>
      <c r="F10" s="299"/>
      <c r="G10" s="300"/>
      <c r="H10" s="83" t="s">
        <v>186</v>
      </c>
    </row>
    <row r="11" spans="2:8" s="193" customFormat="1" ht="22.5" customHeight="1">
      <c r="B11" s="200" t="s">
        <v>164</v>
      </c>
      <c r="C11" s="201"/>
      <c r="D11" s="299" t="s">
        <v>181</v>
      </c>
      <c r="E11" s="299"/>
      <c r="F11" s="299"/>
      <c r="G11" s="300"/>
      <c r="H11" s="193" t="s">
        <v>187</v>
      </c>
    </row>
    <row r="12" spans="2:8" s="193" customFormat="1" ht="15.75" customHeight="1">
      <c r="B12" s="198" t="s">
        <v>165</v>
      </c>
      <c r="C12" s="199"/>
      <c r="D12" s="299" t="s">
        <v>176</v>
      </c>
      <c r="E12" s="299"/>
      <c r="F12" s="299"/>
      <c r="G12" s="300"/>
      <c r="H12" s="83" t="s">
        <v>188</v>
      </c>
    </row>
    <row r="13" spans="2:8" s="193" customFormat="1" ht="24.75" customHeight="1">
      <c r="B13" s="200" t="s">
        <v>166</v>
      </c>
      <c r="C13" s="201"/>
      <c r="D13" s="299" t="s">
        <v>178</v>
      </c>
      <c r="E13" s="299"/>
      <c r="F13" s="299"/>
      <c r="G13" s="300"/>
      <c r="H13" s="193" t="s">
        <v>189</v>
      </c>
    </row>
    <row r="14" spans="2:8" s="193" customFormat="1" ht="21" customHeight="1">
      <c r="B14" s="198" t="s">
        <v>167</v>
      </c>
      <c r="C14" s="199"/>
      <c r="D14" s="299" t="s">
        <v>179</v>
      </c>
      <c r="E14" s="299"/>
      <c r="F14" s="299"/>
      <c r="G14" s="300"/>
      <c r="H14" s="83" t="s">
        <v>190</v>
      </c>
    </row>
    <row r="15" spans="1:8" s="193" customFormat="1" ht="14.25">
      <c r="A15" s="204"/>
      <c r="B15" s="200" t="s">
        <v>168</v>
      </c>
      <c r="C15" s="201"/>
      <c r="D15" s="299" t="s">
        <v>180</v>
      </c>
      <c r="E15" s="299"/>
      <c r="F15" s="299"/>
      <c r="G15" s="300"/>
      <c r="H15" t="s">
        <v>199</v>
      </c>
    </row>
    <row r="16" spans="1:8" s="193" customFormat="1" ht="15" thickBot="1">
      <c r="A16" s="204"/>
      <c r="B16" s="202" t="s">
        <v>169</v>
      </c>
      <c r="C16" s="203"/>
      <c r="D16" s="301" t="s">
        <v>173</v>
      </c>
      <c r="E16" s="301"/>
      <c r="F16" s="301"/>
      <c r="G16" s="302"/>
      <c r="H16" s="83" t="s">
        <v>191</v>
      </c>
    </row>
    <row r="19" spans="2:8" ht="18.75" thickBot="1">
      <c r="B19" s="32" t="s">
        <v>163</v>
      </c>
      <c r="C19" s="32"/>
      <c r="D19" s="32"/>
      <c r="E19" s="32"/>
      <c r="F19" s="32"/>
      <c r="G19" s="32"/>
      <c r="H19" s="32"/>
    </row>
    <row r="20" spans="1:8" ht="15" thickBot="1">
      <c r="A20" s="33"/>
      <c r="B20" s="34"/>
      <c r="C20" s="282" t="s">
        <v>63</v>
      </c>
      <c r="D20" s="283"/>
      <c r="E20" s="282" t="s">
        <v>76</v>
      </c>
      <c r="F20" s="309"/>
      <c r="G20" s="223" t="s">
        <v>156</v>
      </c>
      <c r="H20" s="222" t="s">
        <v>15</v>
      </c>
    </row>
    <row r="21" spans="1:8" ht="29.25" thickBot="1">
      <c r="A21" s="33"/>
      <c r="B21" s="34" t="s">
        <v>16</v>
      </c>
      <c r="C21" s="284">
        <v>650</v>
      </c>
      <c r="D21" s="285"/>
      <c r="E21" s="284">
        <v>500</v>
      </c>
      <c r="F21" s="306"/>
      <c r="G21" s="216" t="s">
        <v>158</v>
      </c>
      <c r="H21" s="214" t="s">
        <v>17</v>
      </c>
    </row>
    <row r="22" spans="1:8" ht="29.25" thickBot="1">
      <c r="A22" s="33"/>
      <c r="B22" s="34" t="s">
        <v>18</v>
      </c>
      <c r="C22" s="284">
        <v>5</v>
      </c>
      <c r="D22" s="285"/>
      <c r="E22" s="284">
        <v>5</v>
      </c>
      <c r="F22" s="306"/>
      <c r="G22" s="217" t="s">
        <v>159</v>
      </c>
      <c r="H22" s="214" t="s">
        <v>19</v>
      </c>
    </row>
    <row r="23" spans="1:8" ht="26.25" thickBot="1">
      <c r="A23" s="33"/>
      <c r="B23" s="34" t="s">
        <v>20</v>
      </c>
      <c r="C23" s="284">
        <v>520</v>
      </c>
      <c r="D23" s="285"/>
      <c r="E23" s="284">
        <v>520</v>
      </c>
      <c r="F23" s="306"/>
      <c r="G23" s="218" t="s">
        <v>160</v>
      </c>
      <c r="H23" s="214" t="s">
        <v>21</v>
      </c>
    </row>
    <row r="24" spans="1:8" ht="18.75" thickBot="1">
      <c r="A24" s="33"/>
      <c r="B24" s="34" t="s">
        <v>22</v>
      </c>
      <c r="C24" s="293">
        <v>19.5</v>
      </c>
      <c r="D24" s="294"/>
      <c r="E24" s="293">
        <v>19.5</v>
      </c>
      <c r="F24" s="310"/>
      <c r="G24" s="217" t="s">
        <v>67</v>
      </c>
      <c r="H24" s="214" t="s">
        <v>23</v>
      </c>
    </row>
    <row r="25" spans="1:8" ht="18.75" thickBot="1">
      <c r="A25" s="33"/>
      <c r="B25" s="34" t="s">
        <v>24</v>
      </c>
      <c r="C25" s="295">
        <f>+C23*C24</f>
        <v>10140</v>
      </c>
      <c r="D25" s="296"/>
      <c r="E25" s="295">
        <f>+E23*E24</f>
        <v>10140</v>
      </c>
      <c r="F25" s="311"/>
      <c r="G25" s="219" t="s">
        <v>155</v>
      </c>
      <c r="H25" s="214" t="s">
        <v>25</v>
      </c>
    </row>
    <row r="26" spans="1:8" ht="21" customHeight="1" thickBot="1">
      <c r="A26" s="33"/>
      <c r="B26" s="39" t="s">
        <v>26</v>
      </c>
      <c r="C26" s="293">
        <v>8</v>
      </c>
      <c r="D26" s="294"/>
      <c r="E26" s="293">
        <v>8</v>
      </c>
      <c r="F26" s="310"/>
      <c r="G26" s="220" t="s">
        <v>161</v>
      </c>
      <c r="H26" s="214" t="s">
        <v>27</v>
      </c>
    </row>
    <row r="27" spans="1:8" ht="38.25" customHeight="1" thickBot="1">
      <c r="A27" s="33"/>
      <c r="B27" s="34" t="s">
        <v>28</v>
      </c>
      <c r="C27" s="284"/>
      <c r="D27" s="285"/>
      <c r="E27" s="293">
        <v>2.2</v>
      </c>
      <c r="F27" s="310"/>
      <c r="G27" s="220" t="s">
        <v>77</v>
      </c>
      <c r="H27" s="215" t="s">
        <v>29</v>
      </c>
    </row>
    <row r="28" spans="1:8" ht="31.5" customHeight="1" thickBot="1">
      <c r="A28" s="33"/>
      <c r="B28" s="34" t="s">
        <v>30</v>
      </c>
      <c r="C28" s="284">
        <v>1000</v>
      </c>
      <c r="D28" s="285"/>
      <c r="E28" s="284">
        <v>1000</v>
      </c>
      <c r="F28" s="306"/>
      <c r="G28" s="221" t="s">
        <v>70</v>
      </c>
      <c r="H28" s="214" t="s">
        <v>31</v>
      </c>
    </row>
    <row r="29" spans="1:8" ht="26.25" customHeight="1" thickBot="1">
      <c r="A29" s="33"/>
      <c r="B29" s="34" t="s">
        <v>32</v>
      </c>
      <c r="C29" s="41">
        <f>C21/(C22*C23)</f>
        <v>0.25</v>
      </c>
      <c r="D29" s="42">
        <f>+C21/C22</f>
        <v>130</v>
      </c>
      <c r="E29" s="41">
        <f>E21/(E22*E23)</f>
        <v>0.19230769230769232</v>
      </c>
      <c r="F29" s="211">
        <f>+E21/E22</f>
        <v>100</v>
      </c>
      <c r="G29" s="303" t="s">
        <v>162</v>
      </c>
      <c r="H29" s="214" t="s">
        <v>33</v>
      </c>
    </row>
    <row r="30" spans="1:8" ht="29.25" thickBot="1">
      <c r="A30" s="33"/>
      <c r="B30" s="43" t="s">
        <v>34</v>
      </c>
      <c r="C30" s="44">
        <f>C26+C29+C27</f>
        <v>8.25</v>
      </c>
      <c r="D30" s="42">
        <f>C23*C30</f>
        <v>4290</v>
      </c>
      <c r="E30" s="44">
        <f>E26+E29+E27</f>
        <v>10.392307692307693</v>
      </c>
      <c r="F30" s="211">
        <f>E23*E30</f>
        <v>5404</v>
      </c>
      <c r="G30" s="304"/>
      <c r="H30" s="214" t="s">
        <v>35</v>
      </c>
    </row>
    <row r="31" spans="1:8" ht="26.25" thickBot="1">
      <c r="A31" s="33"/>
      <c r="B31" s="34" t="s">
        <v>36</v>
      </c>
      <c r="C31" s="41">
        <f>C24-C30</f>
        <v>11.25</v>
      </c>
      <c r="D31" s="42"/>
      <c r="E31" s="41">
        <f>E24-E30</f>
        <v>9.107692307692307</v>
      </c>
      <c r="F31" s="211"/>
      <c r="G31" s="304"/>
      <c r="H31" s="214" t="s">
        <v>37</v>
      </c>
    </row>
    <row r="32" spans="1:8" ht="26.25" thickBot="1">
      <c r="A32" s="33"/>
      <c r="B32" s="45" t="s">
        <v>38</v>
      </c>
      <c r="C32" s="41">
        <f>C28/C23</f>
        <v>1.9230769230769231</v>
      </c>
      <c r="D32" s="42"/>
      <c r="E32" s="41">
        <f>E28/E23</f>
        <v>1.9230769230769231</v>
      </c>
      <c r="F32" s="211"/>
      <c r="G32" s="304"/>
      <c r="H32" s="214" t="s">
        <v>39</v>
      </c>
    </row>
    <row r="33" spans="1:8" ht="15.75" thickBot="1">
      <c r="A33" s="33"/>
      <c r="B33" s="46" t="s">
        <v>40</v>
      </c>
      <c r="C33" s="41">
        <f>C30+C32</f>
        <v>10.173076923076923</v>
      </c>
      <c r="D33" s="47">
        <f>C23*C33</f>
        <v>5290</v>
      </c>
      <c r="E33" s="41">
        <f>E30+E32</f>
        <v>12.315384615384616</v>
      </c>
      <c r="F33" s="212">
        <f>E23*E33</f>
        <v>6404</v>
      </c>
      <c r="G33" s="304"/>
      <c r="H33" s="214" t="s">
        <v>51</v>
      </c>
    </row>
    <row r="34" spans="1:8" ht="17.25" thickBot="1" thickTop="1">
      <c r="A34" s="33"/>
      <c r="B34" s="49" t="s">
        <v>41</v>
      </c>
      <c r="C34" s="50">
        <f>C24-C33</f>
        <v>9.326923076923077</v>
      </c>
      <c r="D34" s="51">
        <f>C23*C34</f>
        <v>4850</v>
      </c>
      <c r="E34" s="50">
        <f>E24-E33</f>
        <v>7.184615384615384</v>
      </c>
      <c r="F34" s="213">
        <f>E23*E34</f>
        <v>3735.9999999999995</v>
      </c>
      <c r="G34" s="304"/>
      <c r="H34" s="214" t="s">
        <v>42</v>
      </c>
    </row>
    <row r="35" spans="1:8" ht="26.25" thickBot="1">
      <c r="A35" s="33"/>
      <c r="B35" s="53" t="s">
        <v>43</v>
      </c>
      <c r="C35" s="291">
        <f>D34/C21</f>
        <v>7.461538461538462</v>
      </c>
      <c r="D35" s="292"/>
      <c r="E35" s="291">
        <f>F34/E21</f>
        <v>7.4719999999999995</v>
      </c>
      <c r="F35" s="307"/>
      <c r="G35" s="304"/>
      <c r="H35" s="214" t="s">
        <v>44</v>
      </c>
    </row>
    <row r="36" spans="1:8" ht="39" thickBot="1">
      <c r="A36" s="54"/>
      <c r="B36" s="55" t="s">
        <v>53</v>
      </c>
      <c r="C36" s="286">
        <f>C21/(D34+D29)</f>
        <v>0.13052208835341367</v>
      </c>
      <c r="D36" s="287"/>
      <c r="E36" s="286">
        <f>E21/(F34+F29)</f>
        <v>0.13034410844629823</v>
      </c>
      <c r="F36" s="308"/>
      <c r="G36" s="305"/>
      <c r="H36" s="215" t="s">
        <v>50</v>
      </c>
    </row>
    <row r="37" ht="12.75">
      <c r="B37" s="57"/>
    </row>
  </sheetData>
  <mergeCells count="31">
    <mergeCell ref="E24:F24"/>
    <mergeCell ref="E25:F25"/>
    <mergeCell ref="E26:F26"/>
    <mergeCell ref="E27:F27"/>
    <mergeCell ref="E20:F20"/>
    <mergeCell ref="E21:F21"/>
    <mergeCell ref="E22:F22"/>
    <mergeCell ref="E23:F23"/>
    <mergeCell ref="C28:D28"/>
    <mergeCell ref="G29:G36"/>
    <mergeCell ref="C35:D35"/>
    <mergeCell ref="C36:D36"/>
    <mergeCell ref="E28:F28"/>
    <mergeCell ref="E35:F35"/>
    <mergeCell ref="E36:F36"/>
    <mergeCell ref="C24:D24"/>
    <mergeCell ref="C25:D25"/>
    <mergeCell ref="C26:D26"/>
    <mergeCell ref="C27:D27"/>
    <mergeCell ref="C20:D20"/>
    <mergeCell ref="C21:D21"/>
    <mergeCell ref="C22:D22"/>
    <mergeCell ref="C23:D23"/>
    <mergeCell ref="D13:G13"/>
    <mergeCell ref="D14:G14"/>
    <mergeCell ref="D15:G15"/>
    <mergeCell ref="D16:G16"/>
    <mergeCell ref="D9:G9"/>
    <mergeCell ref="D10:G10"/>
    <mergeCell ref="D11:G11"/>
    <mergeCell ref="D12:G12"/>
  </mergeCells>
  <printOptions/>
  <pageMargins left="0.7874015748031497" right="0.5905511811023623" top="0.3937007874015748" bottom="0.7874015748031497" header="0.5118110236220472" footer="0.5118110236220472"/>
  <pageSetup fitToHeight="1" fitToWidth="1" horizontalDpi="1200" verticalDpi="1200" orientation="portrait" paperSize="9" scale="89" r:id="rId2"/>
  <colBreaks count="1" manualBreakCount="1">
    <brk id="8" max="65535" man="1"/>
  </colBreaks>
  <drawing r:id="rId1"/>
</worksheet>
</file>

<file path=xl/worksheets/sheet4.xml><?xml version="1.0" encoding="utf-8"?>
<worksheet xmlns="http://schemas.openxmlformats.org/spreadsheetml/2006/main" xmlns:r="http://schemas.openxmlformats.org/officeDocument/2006/relationships">
  <sheetPr>
    <tabColor indexed="20"/>
    <pageSetUpPr fitToPage="1"/>
  </sheetPr>
  <dimension ref="A1:AG80"/>
  <sheetViews>
    <sheetView zoomScale="70" zoomScaleNormal="70" workbookViewId="0" topLeftCell="A1">
      <pane ySplit="3" topLeftCell="BM4" activePane="bottomLeft" state="frozen"/>
      <selection pane="topLeft" activeCell="H5" sqref="H5"/>
      <selection pane="bottomLeft" activeCell="A2" sqref="A2:B3"/>
    </sheetView>
  </sheetViews>
  <sheetFormatPr defaultColWidth="11.421875" defaultRowHeight="12.75" outlineLevelCol="1"/>
  <cols>
    <col min="1" max="1" width="22.28125" style="0" customWidth="1"/>
    <col min="2" max="2" width="8.00390625" style="0" customWidth="1"/>
    <col min="3" max="14" width="10.57421875" style="0" customWidth="1" outlineLevel="1"/>
    <col min="15" max="15" width="10.57421875" style="0" customWidth="1"/>
    <col min="16" max="16" width="0.9921875" style="0" customWidth="1"/>
    <col min="17" max="17" width="12.00390625" style="0" customWidth="1"/>
    <col min="18" max="18" width="0.9921875" style="0" customWidth="1"/>
    <col min="20" max="20" width="1.1484375" style="0" customWidth="1"/>
    <col min="21" max="21" width="4.7109375" style="0" customWidth="1"/>
    <col min="22" max="101" width="9.140625" style="0" customWidth="1"/>
  </cols>
  <sheetData>
    <row r="1" ht="20.25">
      <c r="A1" s="88"/>
    </row>
    <row r="2" spans="1:19" ht="15" customHeight="1">
      <c r="A2" s="312" t="s">
        <v>78</v>
      </c>
      <c r="B2" s="313"/>
      <c r="C2" s="89" t="s">
        <v>79</v>
      </c>
      <c r="D2" s="90" t="s">
        <v>80</v>
      </c>
      <c r="E2" s="90" t="s">
        <v>81</v>
      </c>
      <c r="F2" s="90" t="s">
        <v>82</v>
      </c>
      <c r="G2" s="90" t="s">
        <v>83</v>
      </c>
      <c r="H2" s="90" t="s">
        <v>84</v>
      </c>
      <c r="I2" s="90" t="s">
        <v>85</v>
      </c>
      <c r="J2" s="90" t="s">
        <v>86</v>
      </c>
      <c r="K2" s="90" t="s">
        <v>87</v>
      </c>
      <c r="L2" s="90" t="s">
        <v>88</v>
      </c>
      <c r="M2" s="90" t="s">
        <v>89</v>
      </c>
      <c r="N2" s="90" t="s">
        <v>90</v>
      </c>
      <c r="O2" s="91" t="s">
        <v>12</v>
      </c>
      <c r="Q2" s="92" t="s">
        <v>12</v>
      </c>
      <c r="S2" s="92" t="s">
        <v>12</v>
      </c>
    </row>
    <row r="3" spans="1:19" ht="12.75" customHeight="1">
      <c r="A3" s="312"/>
      <c r="B3" s="313"/>
      <c r="C3" s="93" t="s">
        <v>91</v>
      </c>
      <c r="D3" s="94" t="s">
        <v>91</v>
      </c>
      <c r="E3" s="94" t="s">
        <v>91</v>
      </c>
      <c r="F3" s="94" t="s">
        <v>91</v>
      </c>
      <c r="G3" s="94" t="s">
        <v>91</v>
      </c>
      <c r="H3" s="94" t="s">
        <v>91</v>
      </c>
      <c r="I3" s="94" t="s">
        <v>91</v>
      </c>
      <c r="J3" s="94" t="s">
        <v>91</v>
      </c>
      <c r="K3" s="94" t="s">
        <v>91</v>
      </c>
      <c r="L3" s="94" t="s">
        <v>91</v>
      </c>
      <c r="M3" s="94" t="s">
        <v>91</v>
      </c>
      <c r="N3" s="94" t="s">
        <v>91</v>
      </c>
      <c r="O3" s="95" t="s">
        <v>91</v>
      </c>
      <c r="Q3" s="96" t="s">
        <v>92</v>
      </c>
      <c r="S3" s="96" t="s">
        <v>93</v>
      </c>
    </row>
    <row r="4" spans="1:19" s="102" customFormat="1" ht="15">
      <c r="A4" s="97" t="s">
        <v>94</v>
      </c>
      <c r="B4" s="97" t="s">
        <v>95</v>
      </c>
      <c r="C4" s="98"/>
      <c r="D4" s="99"/>
      <c r="E4" s="99"/>
      <c r="F4" s="99"/>
      <c r="G4" s="99"/>
      <c r="H4" s="99"/>
      <c r="I4" s="99"/>
      <c r="J4" s="99"/>
      <c r="K4" s="99"/>
      <c r="L4" s="99"/>
      <c r="M4" s="99"/>
      <c r="N4" s="99"/>
      <c r="O4" s="100"/>
      <c r="P4"/>
      <c r="Q4" s="101"/>
      <c r="R4"/>
      <c r="S4" s="101"/>
    </row>
    <row r="5" spans="1:19" s="102" customFormat="1" ht="15">
      <c r="A5" s="103" t="s">
        <v>193</v>
      </c>
      <c r="B5" s="228" t="s">
        <v>194</v>
      </c>
      <c r="C5" s="104">
        <v>20</v>
      </c>
      <c r="D5" s="104">
        <v>20</v>
      </c>
      <c r="E5" s="104">
        <v>30</v>
      </c>
      <c r="F5" s="104">
        <v>40</v>
      </c>
      <c r="G5" s="104">
        <v>80</v>
      </c>
      <c r="H5" s="104">
        <v>70</v>
      </c>
      <c r="I5" s="104">
        <v>50</v>
      </c>
      <c r="J5" s="104">
        <v>40</v>
      </c>
      <c r="K5" s="104">
        <v>40</v>
      </c>
      <c r="L5" s="104">
        <v>40</v>
      </c>
      <c r="M5" s="104">
        <v>40</v>
      </c>
      <c r="N5" s="104">
        <v>50</v>
      </c>
      <c r="O5" s="225">
        <f>SUM(C5:N5)</f>
        <v>520</v>
      </c>
      <c r="P5"/>
      <c r="Q5" s="106">
        <v>580</v>
      </c>
      <c r="R5" s="107"/>
      <c r="S5" s="106">
        <v>600</v>
      </c>
    </row>
    <row r="6" spans="1:19" s="102" customFormat="1" ht="15">
      <c r="A6" s="103" t="s">
        <v>195</v>
      </c>
      <c r="B6" s="228" t="s">
        <v>194</v>
      </c>
      <c r="C6" s="104">
        <v>0</v>
      </c>
      <c r="D6" s="104">
        <v>0</v>
      </c>
      <c r="E6" s="104">
        <v>0</v>
      </c>
      <c r="F6" s="104">
        <v>0</v>
      </c>
      <c r="G6" s="104">
        <v>0</v>
      </c>
      <c r="H6" s="104">
        <v>20</v>
      </c>
      <c r="I6" s="104">
        <v>20</v>
      </c>
      <c r="J6" s="104">
        <v>20</v>
      </c>
      <c r="K6" s="104">
        <v>30</v>
      </c>
      <c r="L6" s="104">
        <v>40</v>
      </c>
      <c r="M6" s="104">
        <v>50</v>
      </c>
      <c r="N6" s="104">
        <v>60</v>
      </c>
      <c r="O6" s="225">
        <f>SUM(C6:N6)</f>
        <v>240</v>
      </c>
      <c r="P6"/>
      <c r="Q6" s="108">
        <v>280</v>
      </c>
      <c r="R6" s="107"/>
      <c r="S6" s="108">
        <v>300</v>
      </c>
    </row>
    <row r="7" spans="1:19" s="102" customFormat="1" ht="15">
      <c r="A7" s="103" t="s">
        <v>192</v>
      </c>
      <c r="B7" s="228"/>
      <c r="C7" s="104">
        <v>0</v>
      </c>
      <c r="D7" s="104">
        <v>0</v>
      </c>
      <c r="E7" s="104">
        <v>0</v>
      </c>
      <c r="F7" s="104">
        <v>0</v>
      </c>
      <c r="G7" s="104">
        <v>0</v>
      </c>
      <c r="H7" s="104">
        <v>0</v>
      </c>
      <c r="I7" s="104">
        <v>0</v>
      </c>
      <c r="J7" s="104">
        <v>0</v>
      </c>
      <c r="K7" s="104">
        <v>0</v>
      </c>
      <c r="L7" s="104">
        <v>0</v>
      </c>
      <c r="M7" s="104">
        <v>0</v>
      </c>
      <c r="N7" s="104">
        <v>0</v>
      </c>
      <c r="O7" s="225">
        <f>SUM(C7:N7)</f>
        <v>0</v>
      </c>
      <c r="P7"/>
      <c r="Q7" s="106">
        <v>0</v>
      </c>
      <c r="R7" s="107"/>
      <c r="S7" s="106">
        <v>0</v>
      </c>
    </row>
    <row r="8" spans="1:19" s="102" customFormat="1" ht="10.5" customHeight="1">
      <c r="A8" s="103"/>
      <c r="B8" s="227"/>
      <c r="C8" s="103"/>
      <c r="D8" s="103"/>
      <c r="E8" s="103"/>
      <c r="F8" s="103"/>
      <c r="G8" s="103"/>
      <c r="H8" s="103"/>
      <c r="I8" s="103"/>
      <c r="J8" s="103"/>
      <c r="K8" s="103"/>
      <c r="L8" s="103"/>
      <c r="M8" s="103"/>
      <c r="N8" s="103"/>
      <c r="O8" s="225"/>
      <c r="P8"/>
      <c r="Q8" s="106"/>
      <c r="R8" s="107"/>
      <c r="S8" s="106"/>
    </row>
    <row r="9" spans="1:19" s="102" customFormat="1" ht="18">
      <c r="A9" s="109" t="s">
        <v>96</v>
      </c>
      <c r="B9" s="227"/>
      <c r="C9" s="103"/>
      <c r="D9" s="103"/>
      <c r="E9" s="103"/>
      <c r="F9" s="103"/>
      <c r="G9" s="103"/>
      <c r="H9" s="103"/>
      <c r="I9" s="103"/>
      <c r="J9" s="103"/>
      <c r="K9" s="103"/>
      <c r="L9" s="103"/>
      <c r="M9" s="103"/>
      <c r="N9" s="103"/>
      <c r="O9" s="225"/>
      <c r="P9"/>
      <c r="Q9" s="106"/>
      <c r="R9" s="107"/>
      <c r="S9" s="106"/>
    </row>
    <row r="10" spans="1:19" s="102" customFormat="1" ht="15">
      <c r="A10" s="97" t="s">
        <v>97</v>
      </c>
      <c r="B10" s="97" t="s">
        <v>98</v>
      </c>
      <c r="C10" s="98"/>
      <c r="D10" s="99"/>
      <c r="E10" s="99"/>
      <c r="F10" s="99"/>
      <c r="G10" s="99"/>
      <c r="H10" s="99"/>
      <c r="I10" s="99"/>
      <c r="J10" s="99"/>
      <c r="K10" s="99"/>
      <c r="L10" s="99"/>
      <c r="M10" s="99"/>
      <c r="N10" s="99"/>
      <c r="O10" s="100"/>
      <c r="P10"/>
      <c r="Q10" s="110"/>
      <c r="R10" s="107"/>
      <c r="S10" s="110"/>
    </row>
    <row r="11" spans="1:19" ht="15">
      <c r="A11" s="60" t="str">
        <f>A5</f>
        <v>Applechips</v>
      </c>
      <c r="B11" s="226">
        <v>19.5</v>
      </c>
      <c r="C11" s="111">
        <f aca="true" t="shared" si="0" ref="C11:O11">C5*$B11</f>
        <v>390</v>
      </c>
      <c r="D11" s="112">
        <f t="shared" si="0"/>
        <v>390</v>
      </c>
      <c r="E11" s="112">
        <f t="shared" si="0"/>
        <v>585</v>
      </c>
      <c r="F11" s="112">
        <f t="shared" si="0"/>
        <v>780</v>
      </c>
      <c r="G11" s="112">
        <f t="shared" si="0"/>
        <v>1560</v>
      </c>
      <c r="H11" s="112">
        <f t="shared" si="0"/>
        <v>1365</v>
      </c>
      <c r="I11" s="112">
        <f t="shared" si="0"/>
        <v>975</v>
      </c>
      <c r="J11" s="112">
        <f t="shared" si="0"/>
        <v>780</v>
      </c>
      <c r="K11" s="112">
        <f t="shared" si="0"/>
        <v>780</v>
      </c>
      <c r="L11" s="112">
        <f t="shared" si="0"/>
        <v>780</v>
      </c>
      <c r="M11" s="112">
        <f t="shared" si="0"/>
        <v>780</v>
      </c>
      <c r="N11" s="112">
        <f t="shared" si="0"/>
        <v>975</v>
      </c>
      <c r="O11" s="113">
        <f t="shared" si="0"/>
        <v>10140</v>
      </c>
      <c r="Q11" s="114">
        <f>Q5*$B11</f>
        <v>11310</v>
      </c>
      <c r="R11" s="107"/>
      <c r="S11" s="114">
        <f>S5*$B11</f>
        <v>11700</v>
      </c>
    </row>
    <row r="12" spans="1:19" ht="15">
      <c r="A12" s="60" t="str">
        <f>A6</f>
        <v>Bananachips</v>
      </c>
      <c r="B12" s="226">
        <v>22</v>
      </c>
      <c r="C12" s="111">
        <f aca="true" t="shared" si="1" ref="C12:O12">C6*$B12</f>
        <v>0</v>
      </c>
      <c r="D12" s="112">
        <f t="shared" si="1"/>
        <v>0</v>
      </c>
      <c r="E12" s="112">
        <f t="shared" si="1"/>
        <v>0</v>
      </c>
      <c r="F12" s="112">
        <f t="shared" si="1"/>
        <v>0</v>
      </c>
      <c r="G12" s="112">
        <f t="shared" si="1"/>
        <v>0</v>
      </c>
      <c r="H12" s="112">
        <f t="shared" si="1"/>
        <v>440</v>
      </c>
      <c r="I12" s="112">
        <f t="shared" si="1"/>
        <v>440</v>
      </c>
      <c r="J12" s="112">
        <f t="shared" si="1"/>
        <v>440</v>
      </c>
      <c r="K12" s="112">
        <f t="shared" si="1"/>
        <v>660</v>
      </c>
      <c r="L12" s="112">
        <f t="shared" si="1"/>
        <v>880</v>
      </c>
      <c r="M12" s="112">
        <f t="shared" si="1"/>
        <v>1100</v>
      </c>
      <c r="N12" s="112">
        <f t="shared" si="1"/>
        <v>1320</v>
      </c>
      <c r="O12" s="113">
        <f t="shared" si="1"/>
        <v>5280</v>
      </c>
      <c r="Q12" s="114">
        <f>Q6*$B12</f>
        <v>6160</v>
      </c>
      <c r="R12" s="107"/>
      <c r="S12" s="114">
        <f>S6*$B12</f>
        <v>6600</v>
      </c>
    </row>
    <row r="13" spans="1:19" ht="15">
      <c r="A13" s="60" t="str">
        <f>A7</f>
        <v>Product 3</v>
      </c>
      <c r="B13" s="226"/>
      <c r="C13" s="111">
        <f aca="true" t="shared" si="2" ref="C13:O13">C7*$B13</f>
        <v>0</v>
      </c>
      <c r="D13" s="112">
        <f t="shared" si="2"/>
        <v>0</v>
      </c>
      <c r="E13" s="112">
        <f t="shared" si="2"/>
        <v>0</v>
      </c>
      <c r="F13" s="112">
        <f t="shared" si="2"/>
        <v>0</v>
      </c>
      <c r="G13" s="112">
        <f t="shared" si="2"/>
        <v>0</v>
      </c>
      <c r="H13" s="112">
        <f t="shared" si="2"/>
        <v>0</v>
      </c>
      <c r="I13" s="112">
        <f t="shared" si="2"/>
        <v>0</v>
      </c>
      <c r="J13" s="112">
        <f t="shared" si="2"/>
        <v>0</v>
      </c>
      <c r="K13" s="112">
        <f t="shared" si="2"/>
        <v>0</v>
      </c>
      <c r="L13" s="112">
        <f t="shared" si="2"/>
        <v>0</v>
      </c>
      <c r="M13" s="112">
        <f t="shared" si="2"/>
        <v>0</v>
      </c>
      <c r="N13" s="112">
        <f t="shared" si="2"/>
        <v>0</v>
      </c>
      <c r="O13" s="113">
        <f t="shared" si="2"/>
        <v>0</v>
      </c>
      <c r="Q13" s="114">
        <f>Q7*$B13</f>
        <v>0</v>
      </c>
      <c r="R13" s="107"/>
      <c r="S13" s="114">
        <f>S7*$B13</f>
        <v>0</v>
      </c>
    </row>
    <row r="14" spans="1:33" s="120" customFormat="1" ht="12.75">
      <c r="A14" s="115" t="s">
        <v>99</v>
      </c>
      <c r="B14" s="115"/>
      <c r="C14" s="116">
        <f aca="true" t="shared" si="3" ref="C14:O14">SUM(C11:C13)</f>
        <v>390</v>
      </c>
      <c r="D14" s="117">
        <f t="shared" si="3"/>
        <v>390</v>
      </c>
      <c r="E14" s="117">
        <f t="shared" si="3"/>
        <v>585</v>
      </c>
      <c r="F14" s="117">
        <f t="shared" si="3"/>
        <v>780</v>
      </c>
      <c r="G14" s="117">
        <f t="shared" si="3"/>
        <v>1560</v>
      </c>
      <c r="H14" s="117">
        <f t="shared" si="3"/>
        <v>1805</v>
      </c>
      <c r="I14" s="117">
        <f t="shared" si="3"/>
        <v>1415</v>
      </c>
      <c r="J14" s="117">
        <f t="shared" si="3"/>
        <v>1220</v>
      </c>
      <c r="K14" s="117">
        <f t="shared" si="3"/>
        <v>1440</v>
      </c>
      <c r="L14" s="117">
        <f t="shared" si="3"/>
        <v>1660</v>
      </c>
      <c r="M14" s="117">
        <f t="shared" si="3"/>
        <v>1880</v>
      </c>
      <c r="N14" s="117">
        <f t="shared" si="3"/>
        <v>2295</v>
      </c>
      <c r="O14" s="118">
        <f t="shared" si="3"/>
        <v>15420</v>
      </c>
      <c r="P14"/>
      <c r="Q14" s="119">
        <f>SUM(Q11:Q13)</f>
        <v>17470</v>
      </c>
      <c r="R14" s="107"/>
      <c r="S14" s="119">
        <f>SUM(S11:S13)</f>
        <v>18300</v>
      </c>
      <c r="T14"/>
      <c r="U14"/>
      <c r="V14"/>
      <c r="W14"/>
      <c r="X14"/>
      <c r="Y14"/>
      <c r="Z14"/>
      <c r="AA14"/>
      <c r="AB14"/>
      <c r="AC14"/>
      <c r="AD14"/>
      <c r="AE14"/>
      <c r="AF14"/>
      <c r="AG14"/>
    </row>
    <row r="15" spans="1:19" ht="10.5" customHeight="1">
      <c r="A15" s="121" t="s">
        <v>100</v>
      </c>
      <c r="C15" s="122">
        <f>C14</f>
        <v>390</v>
      </c>
      <c r="D15" s="107">
        <f aca="true" t="shared" si="4" ref="D15:O15">D14</f>
        <v>390</v>
      </c>
      <c r="E15" s="107">
        <f t="shared" si="4"/>
        <v>585</v>
      </c>
      <c r="F15" s="107">
        <f t="shared" si="4"/>
        <v>780</v>
      </c>
      <c r="G15" s="107">
        <f t="shared" si="4"/>
        <v>1560</v>
      </c>
      <c r="H15" s="107">
        <f t="shared" si="4"/>
        <v>1805</v>
      </c>
      <c r="I15" s="107">
        <f t="shared" si="4"/>
        <v>1415</v>
      </c>
      <c r="J15" s="107">
        <f t="shared" si="4"/>
        <v>1220</v>
      </c>
      <c r="K15" s="107">
        <f t="shared" si="4"/>
        <v>1440</v>
      </c>
      <c r="L15" s="107">
        <f t="shared" si="4"/>
        <v>1660</v>
      </c>
      <c r="M15" s="107">
        <f t="shared" si="4"/>
        <v>1880</v>
      </c>
      <c r="N15" s="107">
        <f t="shared" si="4"/>
        <v>2295</v>
      </c>
      <c r="O15" s="123">
        <f t="shared" si="4"/>
        <v>15420</v>
      </c>
      <c r="Q15" s="124">
        <f>Q14</f>
        <v>17470</v>
      </c>
      <c r="R15" s="107"/>
      <c r="S15" s="124">
        <f>S14</f>
        <v>18300</v>
      </c>
    </row>
    <row r="16" spans="1:19" ht="10.5" customHeight="1">
      <c r="A16" s="121"/>
      <c r="C16" s="122"/>
      <c r="D16" s="125"/>
      <c r="E16" s="125"/>
      <c r="F16" s="125"/>
      <c r="G16" s="125"/>
      <c r="H16" s="125"/>
      <c r="I16" s="125"/>
      <c r="J16" s="125"/>
      <c r="K16" s="125"/>
      <c r="L16" s="125"/>
      <c r="M16" s="125"/>
      <c r="N16" s="125"/>
      <c r="O16" s="123"/>
      <c r="Q16" s="124"/>
      <c r="R16" s="107"/>
      <c r="S16" s="124"/>
    </row>
    <row r="17" spans="1:19" ht="18">
      <c r="A17" s="126" t="s">
        <v>101</v>
      </c>
      <c r="C17" s="127"/>
      <c r="D17" s="60"/>
      <c r="E17" s="60"/>
      <c r="F17" s="60"/>
      <c r="G17" s="60"/>
      <c r="H17" s="60"/>
      <c r="I17" s="60"/>
      <c r="J17" s="60"/>
      <c r="K17" s="60"/>
      <c r="L17" s="60"/>
      <c r="M17" s="60"/>
      <c r="N17" s="60"/>
      <c r="O17" s="105"/>
      <c r="Q17" s="124"/>
      <c r="R17" s="107"/>
      <c r="S17" s="124"/>
    </row>
    <row r="18" spans="1:33" s="102" customFormat="1" ht="15">
      <c r="A18" s="97" t="s">
        <v>102</v>
      </c>
      <c r="B18" s="97" t="s">
        <v>103</v>
      </c>
      <c r="C18" s="128"/>
      <c r="D18" s="129"/>
      <c r="E18" s="129"/>
      <c r="F18" s="129"/>
      <c r="G18" s="129"/>
      <c r="H18" s="129"/>
      <c r="I18" s="129"/>
      <c r="J18" s="129"/>
      <c r="K18" s="129"/>
      <c r="L18" s="129"/>
      <c r="M18" s="129"/>
      <c r="N18" s="129"/>
      <c r="O18" s="130"/>
      <c r="P18"/>
      <c r="Q18" s="131"/>
      <c r="R18" s="107"/>
      <c r="S18" s="131"/>
      <c r="T18"/>
      <c r="U18"/>
      <c r="V18"/>
      <c r="W18"/>
      <c r="X18"/>
      <c r="Y18"/>
      <c r="Z18"/>
      <c r="AA18"/>
      <c r="AB18"/>
      <c r="AC18"/>
      <c r="AD18"/>
      <c r="AE18"/>
      <c r="AF18"/>
      <c r="AG18"/>
    </row>
    <row r="19" spans="1:19" ht="15">
      <c r="A19" s="60" t="str">
        <f>A11</f>
        <v>Applechips</v>
      </c>
      <c r="B19" s="226">
        <v>8</v>
      </c>
      <c r="C19" s="111">
        <f aca="true" t="shared" si="5" ref="C19:O19">C5*$B19</f>
        <v>160</v>
      </c>
      <c r="D19" s="112">
        <f t="shared" si="5"/>
        <v>160</v>
      </c>
      <c r="E19" s="112">
        <f t="shared" si="5"/>
        <v>240</v>
      </c>
      <c r="F19" s="112">
        <f t="shared" si="5"/>
        <v>320</v>
      </c>
      <c r="G19" s="112">
        <f t="shared" si="5"/>
        <v>640</v>
      </c>
      <c r="H19" s="112">
        <f t="shared" si="5"/>
        <v>560</v>
      </c>
      <c r="I19" s="112">
        <f t="shared" si="5"/>
        <v>400</v>
      </c>
      <c r="J19" s="112">
        <f t="shared" si="5"/>
        <v>320</v>
      </c>
      <c r="K19" s="112">
        <f t="shared" si="5"/>
        <v>320</v>
      </c>
      <c r="L19" s="112">
        <f t="shared" si="5"/>
        <v>320</v>
      </c>
      <c r="M19" s="112">
        <f t="shared" si="5"/>
        <v>320</v>
      </c>
      <c r="N19" s="112">
        <f t="shared" si="5"/>
        <v>400</v>
      </c>
      <c r="O19" s="113">
        <f t="shared" si="5"/>
        <v>4160</v>
      </c>
      <c r="Q19" s="114">
        <f>Q5*$B19</f>
        <v>4640</v>
      </c>
      <c r="R19" s="107"/>
      <c r="S19" s="114">
        <f>S5*$B19</f>
        <v>4800</v>
      </c>
    </row>
    <row r="20" spans="1:19" ht="15">
      <c r="A20" s="60" t="str">
        <f>A12</f>
        <v>Bananachips</v>
      </c>
      <c r="B20" s="226">
        <v>10</v>
      </c>
      <c r="C20" s="111">
        <f aca="true" t="shared" si="6" ref="C20:O20">C6*$B20</f>
        <v>0</v>
      </c>
      <c r="D20" s="112">
        <f t="shared" si="6"/>
        <v>0</v>
      </c>
      <c r="E20" s="112">
        <f t="shared" si="6"/>
        <v>0</v>
      </c>
      <c r="F20" s="112">
        <f t="shared" si="6"/>
        <v>0</v>
      </c>
      <c r="G20" s="112">
        <f t="shared" si="6"/>
        <v>0</v>
      </c>
      <c r="H20" s="112">
        <f t="shared" si="6"/>
        <v>200</v>
      </c>
      <c r="I20" s="112">
        <f t="shared" si="6"/>
        <v>200</v>
      </c>
      <c r="J20" s="112">
        <f t="shared" si="6"/>
        <v>200</v>
      </c>
      <c r="K20" s="112">
        <f t="shared" si="6"/>
        <v>300</v>
      </c>
      <c r="L20" s="112">
        <f t="shared" si="6"/>
        <v>400</v>
      </c>
      <c r="M20" s="112">
        <f t="shared" si="6"/>
        <v>500</v>
      </c>
      <c r="N20" s="112">
        <f t="shared" si="6"/>
        <v>600</v>
      </c>
      <c r="O20" s="113">
        <f t="shared" si="6"/>
        <v>2400</v>
      </c>
      <c r="Q20" s="114">
        <f>Q6*$B20</f>
        <v>2800</v>
      </c>
      <c r="R20" s="107"/>
      <c r="S20" s="114">
        <f>S6*$B20</f>
        <v>3000</v>
      </c>
    </row>
    <row r="21" spans="1:19" ht="15">
      <c r="A21" s="60" t="str">
        <f>A13</f>
        <v>Product 3</v>
      </c>
      <c r="B21" s="226"/>
      <c r="C21" s="111">
        <f aca="true" t="shared" si="7" ref="C21:O21">C7*$B21</f>
        <v>0</v>
      </c>
      <c r="D21" s="112">
        <f t="shared" si="7"/>
        <v>0</v>
      </c>
      <c r="E21" s="112">
        <f t="shared" si="7"/>
        <v>0</v>
      </c>
      <c r="F21" s="112">
        <f t="shared" si="7"/>
        <v>0</v>
      </c>
      <c r="G21" s="112">
        <f t="shared" si="7"/>
        <v>0</v>
      </c>
      <c r="H21" s="112">
        <f t="shared" si="7"/>
        <v>0</v>
      </c>
      <c r="I21" s="112">
        <f t="shared" si="7"/>
        <v>0</v>
      </c>
      <c r="J21" s="112">
        <f t="shared" si="7"/>
        <v>0</v>
      </c>
      <c r="K21" s="112">
        <f t="shared" si="7"/>
        <v>0</v>
      </c>
      <c r="L21" s="112">
        <f t="shared" si="7"/>
        <v>0</v>
      </c>
      <c r="M21" s="112">
        <f t="shared" si="7"/>
        <v>0</v>
      </c>
      <c r="N21" s="112">
        <f t="shared" si="7"/>
        <v>0</v>
      </c>
      <c r="O21" s="113">
        <f t="shared" si="7"/>
        <v>0</v>
      </c>
      <c r="Q21" s="114">
        <f>Q7*$B21</f>
        <v>0</v>
      </c>
      <c r="R21" s="107"/>
      <c r="S21" s="114">
        <f>S7*$B21</f>
        <v>0</v>
      </c>
    </row>
    <row r="22" spans="1:33" s="120" customFormat="1" ht="12.75">
      <c r="A22" s="115" t="s">
        <v>104</v>
      </c>
      <c r="B22" s="115"/>
      <c r="C22" s="132">
        <f aca="true" t="shared" si="8" ref="C22:N22">SUM(C19:C21)</f>
        <v>160</v>
      </c>
      <c r="D22" s="133">
        <f t="shared" si="8"/>
        <v>160</v>
      </c>
      <c r="E22" s="133">
        <f t="shared" si="8"/>
        <v>240</v>
      </c>
      <c r="F22" s="133">
        <f t="shared" si="8"/>
        <v>320</v>
      </c>
      <c r="G22" s="133">
        <f t="shared" si="8"/>
        <v>640</v>
      </c>
      <c r="H22" s="133">
        <f t="shared" si="8"/>
        <v>760</v>
      </c>
      <c r="I22" s="133">
        <f t="shared" si="8"/>
        <v>600</v>
      </c>
      <c r="J22" s="133">
        <f t="shared" si="8"/>
        <v>520</v>
      </c>
      <c r="K22" s="133">
        <f t="shared" si="8"/>
        <v>620</v>
      </c>
      <c r="L22" s="133">
        <f t="shared" si="8"/>
        <v>720</v>
      </c>
      <c r="M22" s="133">
        <f t="shared" si="8"/>
        <v>820</v>
      </c>
      <c r="N22" s="133">
        <f t="shared" si="8"/>
        <v>1000</v>
      </c>
      <c r="O22" s="134">
        <f>SUM(C22:N22)</f>
        <v>6560</v>
      </c>
      <c r="P22"/>
      <c r="Q22" s="119">
        <f>SUM(Q19:Q21)</f>
        <v>7440</v>
      </c>
      <c r="R22" s="107"/>
      <c r="S22" s="119">
        <f>SUM(S19:S21)</f>
        <v>7800</v>
      </c>
      <c r="T22"/>
      <c r="U22"/>
      <c r="V22"/>
      <c r="W22"/>
      <c r="X22"/>
      <c r="Y22"/>
      <c r="Z22"/>
      <c r="AA22"/>
      <c r="AB22"/>
      <c r="AC22"/>
      <c r="AD22"/>
      <c r="AE22"/>
      <c r="AF22"/>
      <c r="AG22"/>
    </row>
    <row r="23" spans="1:19" ht="15">
      <c r="A23" s="97" t="s">
        <v>105</v>
      </c>
      <c r="B23" s="135"/>
      <c r="C23" s="98"/>
      <c r="D23" s="99"/>
      <c r="E23" s="99"/>
      <c r="F23" s="99"/>
      <c r="G23" s="99"/>
      <c r="H23" s="99"/>
      <c r="I23" s="99"/>
      <c r="J23" s="99"/>
      <c r="K23" s="99"/>
      <c r="L23" s="99"/>
      <c r="M23" s="99"/>
      <c r="N23" s="99"/>
      <c r="O23" s="249">
        <f>SUM(O24:O29)</f>
        <v>1000</v>
      </c>
      <c r="Q23" s="110"/>
      <c r="R23" s="107"/>
      <c r="S23" s="110"/>
    </row>
    <row r="24" spans="1:19" ht="15">
      <c r="A24" s="103" t="s">
        <v>197</v>
      </c>
      <c r="B24" s="224"/>
      <c r="C24" s="104">
        <v>50</v>
      </c>
      <c r="D24" s="104">
        <v>50</v>
      </c>
      <c r="E24" s="104">
        <v>50</v>
      </c>
      <c r="F24" s="104">
        <v>50</v>
      </c>
      <c r="G24" s="104">
        <v>60</v>
      </c>
      <c r="H24" s="104">
        <v>80</v>
      </c>
      <c r="I24" s="104">
        <v>80</v>
      </c>
      <c r="J24" s="104">
        <v>80</v>
      </c>
      <c r="K24" s="104">
        <v>80</v>
      </c>
      <c r="L24" s="104">
        <v>80</v>
      </c>
      <c r="M24" s="104">
        <v>80</v>
      </c>
      <c r="N24" s="104">
        <v>80</v>
      </c>
      <c r="O24" s="136">
        <f aca="true" t="shared" si="9" ref="O24:O30">SUM(C24:N24)</f>
        <v>820</v>
      </c>
      <c r="Q24" s="137">
        <v>900</v>
      </c>
      <c r="R24" s="107"/>
      <c r="S24" s="137">
        <v>1050</v>
      </c>
    </row>
    <row r="25" spans="1:19" ht="15">
      <c r="A25" s="103" t="s">
        <v>106</v>
      </c>
      <c r="B25" s="224"/>
      <c r="C25" s="104"/>
      <c r="D25" s="104"/>
      <c r="E25" s="104"/>
      <c r="F25" s="104"/>
      <c r="G25" s="104"/>
      <c r="H25" s="104"/>
      <c r="I25" s="104"/>
      <c r="J25" s="104"/>
      <c r="K25" s="104"/>
      <c r="L25" s="104"/>
      <c r="M25" s="104"/>
      <c r="N25" s="104"/>
      <c r="O25" s="136">
        <f t="shared" si="9"/>
        <v>0</v>
      </c>
      <c r="Q25" s="137">
        <v>0</v>
      </c>
      <c r="R25" s="107"/>
      <c r="S25" s="137">
        <v>0</v>
      </c>
    </row>
    <row r="26" spans="1:19" ht="15">
      <c r="A26" s="103" t="s">
        <v>196</v>
      </c>
      <c r="B26" s="224"/>
      <c r="C26" s="104">
        <v>10</v>
      </c>
      <c r="D26" s="104">
        <v>10</v>
      </c>
      <c r="E26" s="104">
        <v>10</v>
      </c>
      <c r="F26" s="104">
        <v>10</v>
      </c>
      <c r="G26" s="104">
        <v>10</v>
      </c>
      <c r="H26" s="104">
        <v>10</v>
      </c>
      <c r="I26" s="104">
        <v>10</v>
      </c>
      <c r="J26" s="104">
        <v>10</v>
      </c>
      <c r="K26" s="104">
        <v>10</v>
      </c>
      <c r="L26" s="104">
        <v>10</v>
      </c>
      <c r="M26" s="104">
        <v>10</v>
      </c>
      <c r="N26" s="104">
        <v>10</v>
      </c>
      <c r="O26" s="136">
        <f t="shared" si="9"/>
        <v>120</v>
      </c>
      <c r="Q26" s="137">
        <v>200</v>
      </c>
      <c r="R26" s="107"/>
      <c r="S26" s="137">
        <v>200</v>
      </c>
    </row>
    <row r="27" spans="1:19" ht="15">
      <c r="A27" s="103" t="s">
        <v>107</v>
      </c>
      <c r="B27" s="224"/>
      <c r="C27" s="104">
        <v>0</v>
      </c>
      <c r="D27" s="104">
        <v>0</v>
      </c>
      <c r="E27" s="104">
        <v>0</v>
      </c>
      <c r="F27" s="104">
        <v>0</v>
      </c>
      <c r="G27" s="104">
        <v>0</v>
      </c>
      <c r="H27" s="104">
        <v>0</v>
      </c>
      <c r="I27" s="104">
        <v>0</v>
      </c>
      <c r="J27" s="104">
        <v>0</v>
      </c>
      <c r="K27" s="104">
        <v>0</v>
      </c>
      <c r="L27" s="104">
        <v>0</v>
      </c>
      <c r="M27" s="104">
        <v>0</v>
      </c>
      <c r="N27" s="104">
        <v>0</v>
      </c>
      <c r="O27" s="136">
        <f>SUM(C27:N27)</f>
        <v>0</v>
      </c>
      <c r="Q27" s="137">
        <v>0</v>
      </c>
      <c r="R27" s="107"/>
      <c r="S27" s="137">
        <v>0</v>
      </c>
    </row>
    <row r="28" spans="1:19" ht="15">
      <c r="A28" s="103" t="s">
        <v>108</v>
      </c>
      <c r="B28" s="224"/>
      <c r="C28" s="104">
        <v>0</v>
      </c>
      <c r="D28" s="104">
        <v>0</v>
      </c>
      <c r="E28" s="104">
        <v>0</v>
      </c>
      <c r="F28" s="104">
        <v>0</v>
      </c>
      <c r="G28" s="104">
        <v>0</v>
      </c>
      <c r="H28" s="104">
        <v>0</v>
      </c>
      <c r="I28" s="104">
        <v>0</v>
      </c>
      <c r="J28" s="104">
        <v>0</v>
      </c>
      <c r="K28" s="104">
        <v>0</v>
      </c>
      <c r="L28" s="104">
        <v>0</v>
      </c>
      <c r="M28" s="104">
        <v>0</v>
      </c>
      <c r="N28" s="104">
        <v>0</v>
      </c>
      <c r="O28" s="136">
        <f t="shared" si="9"/>
        <v>0</v>
      </c>
      <c r="Q28" s="137">
        <v>0</v>
      </c>
      <c r="R28" s="107"/>
      <c r="S28" s="137">
        <v>0</v>
      </c>
    </row>
    <row r="29" spans="1:19" ht="15">
      <c r="A29" s="103" t="s">
        <v>109</v>
      </c>
      <c r="B29" s="224"/>
      <c r="C29" s="104">
        <v>5</v>
      </c>
      <c r="D29" s="104">
        <v>5</v>
      </c>
      <c r="E29" s="104">
        <v>5</v>
      </c>
      <c r="F29" s="104">
        <v>5</v>
      </c>
      <c r="G29" s="104">
        <v>5</v>
      </c>
      <c r="H29" s="104">
        <v>5</v>
      </c>
      <c r="I29" s="104">
        <v>5</v>
      </c>
      <c r="J29" s="104">
        <v>5</v>
      </c>
      <c r="K29" s="104">
        <v>5</v>
      </c>
      <c r="L29" s="104">
        <v>5</v>
      </c>
      <c r="M29" s="104">
        <v>5</v>
      </c>
      <c r="N29" s="104">
        <v>5</v>
      </c>
      <c r="O29" s="136">
        <f t="shared" si="9"/>
        <v>60</v>
      </c>
      <c r="Q29" s="137">
        <v>80</v>
      </c>
      <c r="R29" s="107"/>
      <c r="S29" s="137">
        <v>100</v>
      </c>
    </row>
    <row r="30" spans="1:19" s="255" customFormat="1" ht="15.75">
      <c r="A30" s="251" t="s">
        <v>110</v>
      </c>
      <c r="B30" s="258"/>
      <c r="C30" s="260">
        <v>650</v>
      </c>
      <c r="D30" s="253"/>
      <c r="E30" s="253"/>
      <c r="F30" s="253"/>
      <c r="G30" s="253"/>
      <c r="H30" s="260">
        <v>900</v>
      </c>
      <c r="I30" s="253"/>
      <c r="J30" s="253"/>
      <c r="K30" s="253"/>
      <c r="L30" s="253"/>
      <c r="M30" s="253"/>
      <c r="N30" s="253">
        <v>0</v>
      </c>
      <c r="O30" s="254">
        <f t="shared" si="9"/>
        <v>1550</v>
      </c>
      <c r="Q30" s="259">
        <f>SUM(C44:D44)</f>
        <v>1200</v>
      </c>
      <c r="R30" s="257"/>
      <c r="S30" s="259">
        <f>SUM(I44:J44)</f>
        <v>0</v>
      </c>
    </row>
    <row r="31" spans="1:19" s="139" customFormat="1" ht="12.75">
      <c r="A31" s="138" t="s">
        <v>18</v>
      </c>
      <c r="B31" s="229"/>
      <c r="C31" s="138">
        <v>5</v>
      </c>
      <c r="D31" s="138"/>
      <c r="E31" s="138"/>
      <c r="F31" s="138">
        <v>6</v>
      </c>
      <c r="G31" s="138"/>
      <c r="H31" s="138"/>
      <c r="I31" s="138"/>
      <c r="J31" s="138"/>
      <c r="K31" s="138"/>
      <c r="L31" s="138"/>
      <c r="M31" s="138"/>
      <c r="N31" s="138"/>
      <c r="O31" s="140"/>
      <c r="Q31" s="141"/>
      <c r="R31" s="142"/>
      <c r="S31" s="141"/>
    </row>
    <row r="32" spans="1:19" ht="12.75">
      <c r="A32" s="115" t="s">
        <v>111</v>
      </c>
      <c r="B32" s="190"/>
      <c r="C32" s="133">
        <f>SUM(C24:C30)</f>
        <v>715</v>
      </c>
      <c r="D32" s="133">
        <f aca="true" t="shared" si="10" ref="D32:N32">SUM(D24:D30)</f>
        <v>65</v>
      </c>
      <c r="E32" s="133">
        <f t="shared" si="10"/>
        <v>65</v>
      </c>
      <c r="F32" s="133">
        <f t="shared" si="10"/>
        <v>65</v>
      </c>
      <c r="G32" s="133">
        <f t="shared" si="10"/>
        <v>75</v>
      </c>
      <c r="H32" s="133">
        <f t="shared" si="10"/>
        <v>995</v>
      </c>
      <c r="I32" s="133">
        <f t="shared" si="10"/>
        <v>95</v>
      </c>
      <c r="J32" s="133">
        <f t="shared" si="10"/>
        <v>95</v>
      </c>
      <c r="K32" s="133">
        <f t="shared" si="10"/>
        <v>95</v>
      </c>
      <c r="L32" s="133">
        <f t="shared" si="10"/>
        <v>95</v>
      </c>
      <c r="M32" s="133">
        <f t="shared" si="10"/>
        <v>95</v>
      </c>
      <c r="N32" s="133">
        <f t="shared" si="10"/>
        <v>95</v>
      </c>
      <c r="O32" s="134">
        <f>SUM(O24:O30)</f>
        <v>2550</v>
      </c>
      <c r="Q32" s="143">
        <f>SUM(Q24:Q30)</f>
        <v>2380</v>
      </c>
      <c r="R32" s="107"/>
      <c r="S32" s="143">
        <f>SUM(S24:S30)</f>
        <v>1350</v>
      </c>
    </row>
    <row r="33" spans="1:19" ht="15">
      <c r="A33" s="97" t="s">
        <v>112</v>
      </c>
      <c r="B33" s="135"/>
      <c r="C33" s="98"/>
      <c r="D33" s="99"/>
      <c r="E33" s="99"/>
      <c r="F33" s="99"/>
      <c r="G33" s="99"/>
      <c r="H33" s="99"/>
      <c r="I33" s="99"/>
      <c r="J33" s="99"/>
      <c r="K33" s="99"/>
      <c r="L33" s="99"/>
      <c r="M33" s="99"/>
      <c r="N33" s="99"/>
      <c r="O33" s="100"/>
      <c r="Q33" s="110"/>
      <c r="R33" s="107"/>
      <c r="S33" s="110"/>
    </row>
    <row r="34" spans="1:19" ht="15.75">
      <c r="A34" s="230" t="s">
        <v>113</v>
      </c>
      <c r="B34" s="231">
        <v>0.16</v>
      </c>
      <c r="C34" s="144">
        <f>-PMT($B34/12,36,C40,,1)</f>
        <v>20.816664297838752</v>
      </c>
      <c r="D34" s="145">
        <f aca="true" t="shared" si="11" ref="D34:N34">-PMT($B34/12,36,D40,,1)+C34</f>
        <v>20.816664297838752</v>
      </c>
      <c r="E34" s="145">
        <f t="shared" si="11"/>
        <v>20.816664297838752</v>
      </c>
      <c r="F34" s="145">
        <f t="shared" si="11"/>
        <v>20.816664297838752</v>
      </c>
      <c r="G34" s="145">
        <f t="shared" si="11"/>
        <v>20.816664297838752</v>
      </c>
      <c r="H34" s="145">
        <f t="shared" si="11"/>
        <v>20.816664297838752</v>
      </c>
      <c r="I34" s="145">
        <f t="shared" si="11"/>
        <v>20.816664297838752</v>
      </c>
      <c r="J34" s="145">
        <f t="shared" si="11"/>
        <v>20.816664297838752</v>
      </c>
      <c r="K34" s="145">
        <f t="shared" si="11"/>
        <v>20.816664297838752</v>
      </c>
      <c r="L34" s="145">
        <f t="shared" si="11"/>
        <v>20.816664297838752</v>
      </c>
      <c r="M34" s="145">
        <f t="shared" si="11"/>
        <v>20.816664297838752</v>
      </c>
      <c r="N34" s="145">
        <f t="shared" si="11"/>
        <v>20.816664297838752</v>
      </c>
      <c r="O34" s="146">
        <f>SUM(C34:N34)</f>
        <v>249.79997157406498</v>
      </c>
      <c r="Q34" s="114">
        <f>12*N34</f>
        <v>249.799971574065</v>
      </c>
      <c r="R34" s="107"/>
      <c r="S34" s="114">
        <f>12*N34</f>
        <v>249.799971574065</v>
      </c>
    </row>
    <row r="35" spans="1:33" s="120" customFormat="1" ht="12.75">
      <c r="A35" s="115" t="s">
        <v>114</v>
      </c>
      <c r="C35" s="147">
        <f>SUM(C34)</f>
        <v>20.816664297838752</v>
      </c>
      <c r="D35" s="148">
        <f aca="true" t="shared" si="12" ref="D35:N35">SUM(D34)</f>
        <v>20.816664297838752</v>
      </c>
      <c r="E35" s="148">
        <f t="shared" si="12"/>
        <v>20.816664297838752</v>
      </c>
      <c r="F35" s="148">
        <f t="shared" si="12"/>
        <v>20.816664297838752</v>
      </c>
      <c r="G35" s="148">
        <f t="shared" si="12"/>
        <v>20.816664297838752</v>
      </c>
      <c r="H35" s="148">
        <f t="shared" si="12"/>
        <v>20.816664297838752</v>
      </c>
      <c r="I35" s="148">
        <f t="shared" si="12"/>
        <v>20.816664297838752</v>
      </c>
      <c r="J35" s="148">
        <f t="shared" si="12"/>
        <v>20.816664297838752</v>
      </c>
      <c r="K35" s="148">
        <f t="shared" si="12"/>
        <v>20.816664297838752</v>
      </c>
      <c r="L35" s="148">
        <f t="shared" si="12"/>
        <v>20.816664297838752</v>
      </c>
      <c r="M35" s="148">
        <f t="shared" si="12"/>
        <v>20.816664297838752</v>
      </c>
      <c r="N35" s="148">
        <f t="shared" si="12"/>
        <v>20.816664297838752</v>
      </c>
      <c r="O35" s="149">
        <f>SUM(O34)</f>
        <v>249.79997157406498</v>
      </c>
      <c r="P35" s="150"/>
      <c r="Q35" s="143">
        <f>SUM(Q34)</f>
        <v>249.799971574065</v>
      </c>
      <c r="R35" s="151"/>
      <c r="S35" s="143">
        <f>SUM(S34)</f>
        <v>249.799971574065</v>
      </c>
      <c r="T35"/>
      <c r="U35" s="152"/>
      <c r="V35"/>
      <c r="W35"/>
      <c r="X35"/>
      <c r="Y35"/>
      <c r="Z35"/>
      <c r="AA35"/>
      <c r="AB35"/>
      <c r="AC35"/>
      <c r="AD35"/>
      <c r="AE35"/>
      <c r="AF35"/>
      <c r="AG35"/>
    </row>
    <row r="36" spans="1:19" ht="10.5" customHeight="1">
      <c r="A36" s="121" t="s">
        <v>115</v>
      </c>
      <c r="C36" s="122">
        <f>C22+C32+C35</f>
        <v>895.8166642978388</v>
      </c>
      <c r="D36" s="107">
        <f aca="true" t="shared" si="13" ref="D36:O36">D22+D32+D35</f>
        <v>245.81666429783874</v>
      </c>
      <c r="E36" s="107">
        <f t="shared" si="13"/>
        <v>325.81666429783877</v>
      </c>
      <c r="F36" s="107">
        <f t="shared" si="13"/>
        <v>405.81666429783877</v>
      </c>
      <c r="G36" s="107">
        <f t="shared" si="13"/>
        <v>735.8166642978388</v>
      </c>
      <c r="H36" s="107">
        <f t="shared" si="13"/>
        <v>1775.8166642978388</v>
      </c>
      <c r="I36" s="107">
        <f t="shared" si="13"/>
        <v>715.8166642978388</v>
      </c>
      <c r="J36" s="107">
        <f t="shared" si="13"/>
        <v>635.8166642978388</v>
      </c>
      <c r="K36" s="107">
        <f t="shared" si="13"/>
        <v>735.8166642978388</v>
      </c>
      <c r="L36" s="107">
        <f t="shared" si="13"/>
        <v>835.8166642978388</v>
      </c>
      <c r="M36" s="107">
        <f t="shared" si="13"/>
        <v>935.8166642978388</v>
      </c>
      <c r="N36" s="107">
        <f t="shared" si="13"/>
        <v>1115.8166642978388</v>
      </c>
      <c r="O36" s="123">
        <f t="shared" si="13"/>
        <v>9359.799971574064</v>
      </c>
      <c r="Q36" s="124">
        <f>Q22+Q32+Q35</f>
        <v>10069.799971574064</v>
      </c>
      <c r="R36" s="107"/>
      <c r="S36" s="124">
        <f>S22+S32+S35</f>
        <v>9399.799971574064</v>
      </c>
    </row>
    <row r="37" spans="3:19" ht="10.5" customHeight="1" thickBot="1">
      <c r="C37" s="122"/>
      <c r="D37" s="125"/>
      <c r="E37" s="125"/>
      <c r="F37" s="125"/>
      <c r="G37" s="125"/>
      <c r="H37" s="125"/>
      <c r="I37" s="125"/>
      <c r="J37" s="125"/>
      <c r="K37" s="125"/>
      <c r="L37" s="125"/>
      <c r="M37" s="125"/>
      <c r="N37" s="125"/>
      <c r="O37" s="125"/>
      <c r="P37" s="153"/>
      <c r="Q37" s="124"/>
      <c r="R37" s="107"/>
      <c r="S37" s="124"/>
    </row>
    <row r="38" spans="1:33" s="275" customFormat="1" ht="15.75">
      <c r="A38" s="270" t="s">
        <v>116</v>
      </c>
      <c r="B38" s="271"/>
      <c r="C38" s="272">
        <f aca="true" t="shared" si="14" ref="C38:O38">C14-C22-C32-C35</f>
        <v>-505.81666429783877</v>
      </c>
      <c r="D38" s="271">
        <f t="shared" si="14"/>
        <v>144.18333570216126</v>
      </c>
      <c r="E38" s="271">
        <f t="shared" si="14"/>
        <v>259.18333570216123</v>
      </c>
      <c r="F38" s="271">
        <f t="shared" si="14"/>
        <v>374.18333570216123</v>
      </c>
      <c r="G38" s="271">
        <f t="shared" si="14"/>
        <v>824.1833357021612</v>
      </c>
      <c r="H38" s="271">
        <f t="shared" si="14"/>
        <v>29.183335702161248</v>
      </c>
      <c r="I38" s="271">
        <f t="shared" si="14"/>
        <v>699.1833357021612</v>
      </c>
      <c r="J38" s="271">
        <f t="shared" si="14"/>
        <v>584.1833357021612</v>
      </c>
      <c r="K38" s="271">
        <f t="shared" si="14"/>
        <v>704.1833357021612</v>
      </c>
      <c r="L38" s="271">
        <f t="shared" si="14"/>
        <v>824.1833357021612</v>
      </c>
      <c r="M38" s="271">
        <f t="shared" si="14"/>
        <v>944.1833357021612</v>
      </c>
      <c r="N38" s="271">
        <f t="shared" si="14"/>
        <v>1179.1833357021612</v>
      </c>
      <c r="O38" s="273">
        <f t="shared" si="14"/>
        <v>6060.200028425935</v>
      </c>
      <c r="P38" s="255"/>
      <c r="Q38" s="274">
        <f>Q14-Q22-Q32-Q35</f>
        <v>7400.200028425935</v>
      </c>
      <c r="R38" s="257"/>
      <c r="S38" s="274">
        <f>S14-S22-S32-S35</f>
        <v>8900.200028425936</v>
      </c>
      <c r="T38" s="255"/>
      <c r="U38" s="255"/>
      <c r="V38" s="255"/>
      <c r="W38" s="255"/>
      <c r="X38" s="255"/>
      <c r="Y38" s="255"/>
      <c r="Z38" s="255"/>
      <c r="AA38" s="255"/>
      <c r="AB38" s="255"/>
      <c r="AC38" s="255"/>
      <c r="AD38" s="255"/>
      <c r="AE38" s="255"/>
      <c r="AF38" s="255"/>
      <c r="AG38" s="255"/>
    </row>
    <row r="39" spans="1:19" s="255" customFormat="1" ht="15.75">
      <c r="A39" s="281" t="s">
        <v>117</v>
      </c>
      <c r="B39" s="276"/>
      <c r="C39" s="277">
        <f aca="true" t="shared" si="15" ref="C39:N39">B39+C38</f>
        <v>-505.81666429783877</v>
      </c>
      <c r="D39" s="278">
        <f t="shared" si="15"/>
        <v>-361.63332859567754</v>
      </c>
      <c r="E39" s="278">
        <f t="shared" si="15"/>
        <v>-102.44999289351631</v>
      </c>
      <c r="F39" s="278">
        <f t="shared" si="15"/>
        <v>271.7333428086449</v>
      </c>
      <c r="G39" s="278">
        <f t="shared" si="15"/>
        <v>1095.9166785108062</v>
      </c>
      <c r="H39" s="278">
        <f t="shared" si="15"/>
        <v>1125.1000142129674</v>
      </c>
      <c r="I39" s="278">
        <f t="shared" si="15"/>
        <v>1824.2833499151286</v>
      </c>
      <c r="J39" s="278">
        <f t="shared" si="15"/>
        <v>2408.46668561729</v>
      </c>
      <c r="K39" s="278">
        <f t="shared" si="15"/>
        <v>3112.6500213194513</v>
      </c>
      <c r="L39" s="278">
        <f t="shared" si="15"/>
        <v>3936.8333570216128</v>
      </c>
      <c r="M39" s="278">
        <f t="shared" si="15"/>
        <v>4881.016692723774</v>
      </c>
      <c r="N39" s="278">
        <f t="shared" si="15"/>
        <v>6060.200028425936</v>
      </c>
      <c r="O39" s="278">
        <f>O38</f>
        <v>6060.200028425935</v>
      </c>
      <c r="P39" s="279"/>
      <c r="Q39" s="280">
        <f>O39+Q38</f>
        <v>13460.40005685187</v>
      </c>
      <c r="R39" s="257"/>
      <c r="S39" s="280">
        <f>Q39+S38</f>
        <v>22360.600085277805</v>
      </c>
    </row>
    <row r="40" spans="1:19" s="255" customFormat="1" ht="15">
      <c r="A40" s="250" t="s">
        <v>118</v>
      </c>
      <c r="B40" s="251"/>
      <c r="C40" s="252">
        <v>600</v>
      </c>
      <c r="D40" s="253"/>
      <c r="E40" s="253"/>
      <c r="F40" s="253"/>
      <c r="G40" s="253"/>
      <c r="H40" s="253"/>
      <c r="I40" s="253"/>
      <c r="J40" s="253"/>
      <c r="K40" s="253"/>
      <c r="L40" s="253"/>
      <c r="M40" s="253"/>
      <c r="N40" s="253"/>
      <c r="O40" s="254">
        <f>SUM(C40:N40)</f>
        <v>600</v>
      </c>
      <c r="Q40" s="256"/>
      <c r="R40" s="257"/>
      <c r="S40" s="256"/>
    </row>
    <row r="41" spans="1:19" s="261" customFormat="1" ht="16.5" thickBot="1">
      <c r="A41" s="262" t="s">
        <v>119</v>
      </c>
      <c r="B41" s="263"/>
      <c r="C41" s="264">
        <f aca="true" t="shared" si="16" ref="C41:N41">C40+B41+C38</f>
        <v>94.18333570216123</v>
      </c>
      <c r="D41" s="263">
        <f t="shared" si="16"/>
        <v>238.3666714043225</v>
      </c>
      <c r="E41" s="263">
        <f t="shared" si="16"/>
        <v>497.5500071064837</v>
      </c>
      <c r="F41" s="263">
        <f t="shared" si="16"/>
        <v>871.7333428086449</v>
      </c>
      <c r="G41" s="263">
        <f t="shared" si="16"/>
        <v>1695.9166785108062</v>
      </c>
      <c r="H41" s="263">
        <f t="shared" si="16"/>
        <v>1725.1000142129674</v>
      </c>
      <c r="I41" s="263">
        <f t="shared" si="16"/>
        <v>2424.2833499151284</v>
      </c>
      <c r="J41" s="263">
        <f t="shared" si="16"/>
        <v>3008.46668561729</v>
      </c>
      <c r="K41" s="263">
        <f t="shared" si="16"/>
        <v>3712.6500213194513</v>
      </c>
      <c r="L41" s="263">
        <f t="shared" si="16"/>
        <v>4536.833357021613</v>
      </c>
      <c r="M41" s="263">
        <f t="shared" si="16"/>
        <v>5481.016692723774</v>
      </c>
      <c r="N41" s="263">
        <f t="shared" si="16"/>
        <v>6660.200028425936</v>
      </c>
      <c r="O41" s="265">
        <f>O38+O40</f>
        <v>6660.200028425935</v>
      </c>
      <c r="P41" s="266"/>
      <c r="Q41" s="267">
        <f>O41+Q40+Q38</f>
        <v>14060.40005685187</v>
      </c>
      <c r="R41" s="268"/>
      <c r="S41" s="269">
        <f>Q41+S40+S38</f>
        <v>22960.600085277805</v>
      </c>
    </row>
    <row r="42" s="107" customFormat="1" ht="12.75">
      <c r="S42" s="154"/>
    </row>
    <row r="43" spans="1:8" s="102" customFormat="1" ht="15.75">
      <c r="A43" s="155" t="s">
        <v>120</v>
      </c>
      <c r="F43" s="156" t="s">
        <v>121</v>
      </c>
      <c r="G43" s="157"/>
      <c r="H43" s="157"/>
    </row>
    <row r="44" spans="1:11" s="102" customFormat="1" ht="15">
      <c r="A44" s="314" t="s">
        <v>122</v>
      </c>
      <c r="B44" s="316"/>
      <c r="C44" s="158">
        <v>1200</v>
      </c>
      <c r="D44" s="159"/>
      <c r="E44"/>
      <c r="F44" s="314" t="s">
        <v>122</v>
      </c>
      <c r="G44" s="315"/>
      <c r="H44" s="316"/>
      <c r="I44" s="160"/>
      <c r="J44" s="161"/>
      <c r="K44"/>
    </row>
    <row r="45" spans="1:11" s="102" customFormat="1" ht="15">
      <c r="A45" s="317" t="s">
        <v>154</v>
      </c>
      <c r="B45" s="319"/>
      <c r="C45" s="162">
        <v>5</v>
      </c>
      <c r="D45" s="163"/>
      <c r="E45"/>
      <c r="F45" s="317" t="s">
        <v>123</v>
      </c>
      <c r="G45" s="318"/>
      <c r="H45" s="319"/>
      <c r="I45" s="165"/>
      <c r="J45" s="166"/>
      <c r="K45"/>
    </row>
    <row r="46" spans="1:11" s="102" customFormat="1" ht="15">
      <c r="A46" s="320" t="s">
        <v>124</v>
      </c>
      <c r="B46" s="322"/>
      <c r="C46" s="167">
        <v>1</v>
      </c>
      <c r="D46" s="168"/>
      <c r="E46"/>
      <c r="F46" s="320" t="s">
        <v>124</v>
      </c>
      <c r="G46" s="321"/>
      <c r="H46" s="322"/>
      <c r="I46" s="157"/>
      <c r="J46" s="169"/>
      <c r="K46"/>
    </row>
    <row r="47" spans="1:11" s="102" customFormat="1" ht="15">
      <c r="A47" s="165"/>
      <c r="B47" s="165"/>
      <c r="C47" s="165"/>
      <c r="D47" s="165"/>
      <c r="E47"/>
      <c r="K47"/>
    </row>
    <row r="48" spans="1:11" s="102" customFormat="1" ht="15">
      <c r="A48"/>
      <c r="B48"/>
      <c r="C48"/>
      <c r="D48"/>
      <c r="E48"/>
      <c r="F48"/>
      <c r="G48"/>
      <c r="H48"/>
      <c r="I48"/>
      <c r="J48"/>
      <c r="K48"/>
    </row>
    <row r="49" spans="1:11" s="102" customFormat="1" ht="15">
      <c r="A49"/>
      <c r="B49"/>
      <c r="C49"/>
      <c r="D49"/>
      <c r="E49"/>
      <c r="F49"/>
      <c r="G49"/>
      <c r="H49"/>
      <c r="I49"/>
      <c r="J49"/>
      <c r="K49"/>
    </row>
    <row r="50" spans="1:11" s="102" customFormat="1" ht="15">
      <c r="A50"/>
      <c r="B50"/>
      <c r="C50"/>
      <c r="D50"/>
      <c r="E50"/>
      <c r="F50"/>
      <c r="G50"/>
      <c r="H50"/>
      <c r="I50"/>
      <c r="J50"/>
      <c r="K50"/>
    </row>
    <row r="51" spans="1:11" s="102" customFormat="1" ht="15">
      <c r="A51"/>
      <c r="B51"/>
      <c r="C51"/>
      <c r="D51"/>
      <c r="E51"/>
      <c r="F51"/>
      <c r="G51"/>
      <c r="H51"/>
      <c r="I51"/>
      <c r="J51"/>
      <c r="K51"/>
    </row>
    <row r="52" spans="1:11" s="102" customFormat="1" ht="15">
      <c r="A52" s="164"/>
      <c r="B52" s="164"/>
      <c r="C52" s="162"/>
      <c r="D52" s="162"/>
      <c r="E52"/>
      <c r="F52" s="164"/>
      <c r="G52" s="164"/>
      <c r="H52" s="164"/>
      <c r="I52" s="165"/>
      <c r="J52" s="165"/>
      <c r="K52"/>
    </row>
    <row r="53" spans="1:2" s="102" customFormat="1" ht="15">
      <c r="A53" s="164"/>
      <c r="B53" s="164"/>
    </row>
    <row r="54" spans="3:12" ht="12.75">
      <c r="C54" s="60"/>
      <c r="D54" s="60"/>
      <c r="E54" s="60"/>
      <c r="F54" s="60"/>
      <c r="L54" s="170"/>
    </row>
    <row r="57" ht="12.75">
      <c r="C57" s="171"/>
    </row>
    <row r="61" spans="1:15" ht="15">
      <c r="A61" s="172" t="s">
        <v>125</v>
      </c>
      <c r="C61" s="173">
        <f>SLN(C30,0,C31*12)</f>
        <v>10.833333333333334</v>
      </c>
      <c r="D61" s="173">
        <f aca="true" t="shared" si="17" ref="D61:N61">IF(D31&gt;0,SLN(D30,0,D31*12),0)+C61</f>
        <v>10.833333333333334</v>
      </c>
      <c r="E61" s="173">
        <f t="shared" si="17"/>
        <v>10.833333333333334</v>
      </c>
      <c r="F61" s="173">
        <f t="shared" si="17"/>
        <v>10.833333333333334</v>
      </c>
      <c r="G61" s="173">
        <f t="shared" si="17"/>
        <v>10.833333333333334</v>
      </c>
      <c r="H61" s="173">
        <f t="shared" si="17"/>
        <v>10.833333333333334</v>
      </c>
      <c r="I61" s="173">
        <f t="shared" si="17"/>
        <v>10.833333333333334</v>
      </c>
      <c r="J61" s="173">
        <f t="shared" si="17"/>
        <v>10.833333333333334</v>
      </c>
      <c r="K61" s="173">
        <f t="shared" si="17"/>
        <v>10.833333333333334</v>
      </c>
      <c r="L61" s="173">
        <f t="shared" si="17"/>
        <v>10.833333333333334</v>
      </c>
      <c r="M61" s="173">
        <f t="shared" si="17"/>
        <v>10.833333333333334</v>
      </c>
      <c r="N61" s="173">
        <f t="shared" si="17"/>
        <v>10.833333333333334</v>
      </c>
      <c r="O61" s="173">
        <f>SUM(C61:N61)</f>
        <v>129.99999999999997</v>
      </c>
    </row>
    <row r="64" ht="12.75">
      <c r="A64" s="150" t="s">
        <v>126</v>
      </c>
    </row>
    <row r="65" spans="1:14" ht="12.75">
      <c r="A65" t="s">
        <v>127</v>
      </c>
      <c r="C65">
        <f aca="true" t="shared" si="18" ref="C65:N65">B65+C15</f>
        <v>390</v>
      </c>
      <c r="D65">
        <f t="shared" si="18"/>
        <v>780</v>
      </c>
      <c r="E65">
        <f t="shared" si="18"/>
        <v>1365</v>
      </c>
      <c r="F65">
        <f t="shared" si="18"/>
        <v>2145</v>
      </c>
      <c r="G65">
        <f t="shared" si="18"/>
        <v>3705</v>
      </c>
      <c r="H65">
        <f t="shared" si="18"/>
        <v>5510</v>
      </c>
      <c r="I65">
        <f t="shared" si="18"/>
        <v>6925</v>
      </c>
      <c r="J65">
        <f t="shared" si="18"/>
        <v>8145</v>
      </c>
      <c r="K65">
        <f t="shared" si="18"/>
        <v>9585</v>
      </c>
      <c r="L65">
        <f t="shared" si="18"/>
        <v>11245</v>
      </c>
      <c r="M65">
        <f t="shared" si="18"/>
        <v>13125</v>
      </c>
      <c r="N65">
        <f t="shared" si="18"/>
        <v>15420</v>
      </c>
    </row>
    <row r="66" spans="1:14" ht="12.75">
      <c r="A66" t="s">
        <v>128</v>
      </c>
      <c r="C66" s="174">
        <f aca="true" t="shared" si="19" ref="C66:N66">B66+C36</f>
        <v>895.8166642978388</v>
      </c>
      <c r="D66" s="174">
        <f t="shared" si="19"/>
        <v>1141.6333285956775</v>
      </c>
      <c r="E66" s="174">
        <f t="shared" si="19"/>
        <v>1467.4499928935163</v>
      </c>
      <c r="F66" s="174">
        <f t="shared" si="19"/>
        <v>1873.266657191355</v>
      </c>
      <c r="G66" s="174">
        <f t="shared" si="19"/>
        <v>2609.0833214891936</v>
      </c>
      <c r="H66" s="174">
        <f t="shared" si="19"/>
        <v>4384.899985787032</v>
      </c>
      <c r="I66" s="174">
        <f t="shared" si="19"/>
        <v>5100.716650084871</v>
      </c>
      <c r="J66" s="174">
        <f t="shared" si="19"/>
        <v>5736.533314382709</v>
      </c>
      <c r="K66" s="174">
        <f t="shared" si="19"/>
        <v>6472.349978680548</v>
      </c>
      <c r="L66" s="174">
        <f t="shared" si="19"/>
        <v>7308.166642978386</v>
      </c>
      <c r="M66" s="174">
        <f t="shared" si="19"/>
        <v>8243.983307276225</v>
      </c>
      <c r="N66" s="174">
        <f t="shared" si="19"/>
        <v>9359.799971574064</v>
      </c>
    </row>
    <row r="67" spans="3:14" ht="12.75">
      <c r="C67" s="174"/>
      <c r="D67" s="174"/>
      <c r="E67" s="174"/>
      <c r="F67" s="174"/>
      <c r="G67" s="174"/>
      <c r="H67" s="174"/>
      <c r="I67" s="174"/>
      <c r="J67" s="174"/>
      <c r="K67" s="174"/>
      <c r="L67" s="174"/>
      <c r="M67" s="174"/>
      <c r="N67" s="174"/>
    </row>
    <row r="68" spans="1:14" ht="12.75">
      <c r="A68" t="s">
        <v>129</v>
      </c>
      <c r="C68" s="107">
        <f aca="true" t="shared" si="20" ref="C68:N68">B68+C38</f>
        <v>-505.81666429783877</v>
      </c>
      <c r="D68" s="107">
        <f t="shared" si="20"/>
        <v>-361.63332859567754</v>
      </c>
      <c r="E68" s="107">
        <f t="shared" si="20"/>
        <v>-102.44999289351631</v>
      </c>
      <c r="F68" s="107">
        <f t="shared" si="20"/>
        <v>271.7333428086449</v>
      </c>
      <c r="G68" s="107">
        <f t="shared" si="20"/>
        <v>1095.9166785108062</v>
      </c>
      <c r="H68" s="107">
        <f t="shared" si="20"/>
        <v>1125.1000142129674</v>
      </c>
      <c r="I68" s="107">
        <f t="shared" si="20"/>
        <v>1824.2833499151286</v>
      </c>
      <c r="J68" s="107">
        <f t="shared" si="20"/>
        <v>2408.46668561729</v>
      </c>
      <c r="K68" s="107">
        <f t="shared" si="20"/>
        <v>3112.6500213194513</v>
      </c>
      <c r="L68" s="107">
        <f t="shared" si="20"/>
        <v>3936.8333570216128</v>
      </c>
      <c r="M68" s="107">
        <f t="shared" si="20"/>
        <v>4881.016692723774</v>
      </c>
      <c r="N68" s="107">
        <f t="shared" si="20"/>
        <v>6060.200028425936</v>
      </c>
    </row>
    <row r="69" spans="1:14" ht="12.75">
      <c r="A69" t="s">
        <v>119</v>
      </c>
      <c r="C69" s="107">
        <f>C41</f>
        <v>94.18333570216123</v>
      </c>
      <c r="D69" s="107">
        <f aca="true" t="shared" si="21" ref="D69:N69">D41</f>
        <v>238.3666714043225</v>
      </c>
      <c r="E69" s="107">
        <f t="shared" si="21"/>
        <v>497.5500071064837</v>
      </c>
      <c r="F69" s="107">
        <f t="shared" si="21"/>
        <v>871.7333428086449</v>
      </c>
      <c r="G69" s="107">
        <f t="shared" si="21"/>
        <v>1695.9166785108062</v>
      </c>
      <c r="H69" s="107">
        <f t="shared" si="21"/>
        <v>1725.1000142129674</v>
      </c>
      <c r="I69" s="107">
        <f t="shared" si="21"/>
        <v>2424.2833499151284</v>
      </c>
      <c r="J69" s="107">
        <f t="shared" si="21"/>
        <v>3008.46668561729</v>
      </c>
      <c r="K69" s="107">
        <f t="shared" si="21"/>
        <v>3712.6500213194513</v>
      </c>
      <c r="L69" s="107">
        <f t="shared" si="21"/>
        <v>4536.833357021613</v>
      </c>
      <c r="M69" s="107">
        <f t="shared" si="21"/>
        <v>5481.016692723774</v>
      </c>
      <c r="N69" s="107">
        <f t="shared" si="21"/>
        <v>6660.200028425936</v>
      </c>
    </row>
    <row r="70" spans="1:14" ht="12.75">
      <c r="A70" t="s">
        <v>116</v>
      </c>
      <c r="C70" s="107">
        <f>C38</f>
        <v>-505.81666429783877</v>
      </c>
      <c r="D70" s="107">
        <f aca="true" t="shared" si="22" ref="D70:N70">D38</f>
        <v>144.18333570216126</v>
      </c>
      <c r="E70" s="107">
        <f t="shared" si="22"/>
        <v>259.18333570216123</v>
      </c>
      <c r="F70" s="107">
        <f t="shared" si="22"/>
        <v>374.18333570216123</v>
      </c>
      <c r="G70" s="107">
        <f t="shared" si="22"/>
        <v>824.1833357021612</v>
      </c>
      <c r="H70" s="107">
        <f t="shared" si="22"/>
        <v>29.183335702161248</v>
      </c>
      <c r="I70" s="107">
        <f t="shared" si="22"/>
        <v>699.1833357021612</v>
      </c>
      <c r="J70" s="107">
        <f t="shared" si="22"/>
        <v>584.1833357021612</v>
      </c>
      <c r="K70" s="107">
        <f t="shared" si="22"/>
        <v>704.1833357021612</v>
      </c>
      <c r="L70" s="107">
        <f t="shared" si="22"/>
        <v>824.1833357021612</v>
      </c>
      <c r="M70" s="107">
        <f t="shared" si="22"/>
        <v>944.1833357021612</v>
      </c>
      <c r="N70" s="107">
        <f t="shared" si="22"/>
        <v>1179.1833357021612</v>
      </c>
    </row>
    <row r="74" spans="1:5" ht="12.75">
      <c r="A74" s="150" t="s">
        <v>130</v>
      </c>
      <c r="C74" t="s">
        <v>91</v>
      </c>
      <c r="D74" t="s">
        <v>92</v>
      </c>
      <c r="E74" t="s">
        <v>93</v>
      </c>
    </row>
    <row r="75" spans="1:5" ht="12.75">
      <c r="A75" t="s">
        <v>100</v>
      </c>
      <c r="C75">
        <f>O15</f>
        <v>15420</v>
      </c>
      <c r="D75" s="107">
        <f>Q15</f>
        <v>17470</v>
      </c>
      <c r="E75" s="107">
        <f>S15</f>
        <v>18300</v>
      </c>
    </row>
    <row r="76" spans="1:5" ht="12.75">
      <c r="A76" t="s">
        <v>131</v>
      </c>
      <c r="C76" s="174">
        <f>O36</f>
        <v>9359.799971574064</v>
      </c>
      <c r="D76" s="107">
        <f>Q36</f>
        <v>10069.799971574064</v>
      </c>
      <c r="E76" s="107">
        <f>S36</f>
        <v>9399.799971574064</v>
      </c>
    </row>
    <row r="78" spans="1:5" ht="12.75">
      <c r="A78" t="s">
        <v>129</v>
      </c>
      <c r="C78" s="107">
        <f>O39</f>
        <v>6060.200028425935</v>
      </c>
      <c r="D78" s="107">
        <f>Q39</f>
        <v>13460.40005685187</v>
      </c>
      <c r="E78" s="107">
        <f>S39</f>
        <v>22360.600085277805</v>
      </c>
    </row>
    <row r="79" spans="1:5" ht="12.75">
      <c r="A79" t="s">
        <v>119</v>
      </c>
      <c r="C79" s="107">
        <f>O41</f>
        <v>6660.200028425935</v>
      </c>
      <c r="D79" s="107">
        <f>Q41</f>
        <v>14060.40005685187</v>
      </c>
      <c r="E79" s="107">
        <f>S41</f>
        <v>22960.600085277805</v>
      </c>
    </row>
    <row r="80" spans="1:5" ht="12.75">
      <c r="A80" t="s">
        <v>116</v>
      </c>
      <c r="C80" s="107">
        <f>O38</f>
        <v>6060.200028425935</v>
      </c>
      <c r="D80" s="107">
        <f>Q38</f>
        <v>7400.200028425935</v>
      </c>
      <c r="E80" s="107">
        <f>S38</f>
        <v>8900.200028425936</v>
      </c>
    </row>
  </sheetData>
  <sheetProtection/>
  <mergeCells count="7">
    <mergeCell ref="A2:B3"/>
    <mergeCell ref="F44:H44"/>
    <mergeCell ref="F45:H45"/>
    <mergeCell ref="F46:H46"/>
    <mergeCell ref="A44:B44"/>
    <mergeCell ref="A45:B45"/>
    <mergeCell ref="A46:B46"/>
  </mergeCells>
  <printOptions horizontalCentered="1"/>
  <pageMargins left="0.3937007874015748" right="0.3937007874015748" top="0.984251968503937" bottom="0.3937007874015748" header="0.5118110236220472" footer="0.5118110236220472"/>
  <pageSetup fitToHeight="1" fitToWidth="1" horizontalDpi="300" verticalDpi="300" orientation="landscape" paperSize="9" scale="73" r:id="rId1"/>
  <headerFooter alignWithMargins="0">
    <oddFooter>&amp;LINSABA Tool 3&amp;R&amp;D</oddFooter>
  </headerFooter>
  <ignoredErrors>
    <ignoredError sqref="C32 F32" formulaRange="1"/>
  </ignoredErrors>
</worksheet>
</file>

<file path=xl/worksheets/sheet5.xml><?xml version="1.0" encoding="utf-8"?>
<worksheet xmlns="http://schemas.openxmlformats.org/spreadsheetml/2006/main" xmlns:r="http://schemas.openxmlformats.org/officeDocument/2006/relationships">
  <sheetPr>
    <tabColor indexed="19"/>
    <pageSetUpPr fitToPage="1"/>
  </sheetPr>
  <dimension ref="A1:M19"/>
  <sheetViews>
    <sheetView workbookViewId="0" topLeftCell="A1">
      <selection activeCell="H1" sqref="H1:M19"/>
    </sheetView>
  </sheetViews>
  <sheetFormatPr defaultColWidth="11.421875" defaultRowHeight="12.75"/>
  <cols>
    <col min="1" max="1" width="9.140625" style="0" customWidth="1"/>
    <col min="2" max="2" width="19.57421875" style="0" customWidth="1"/>
    <col min="3" max="4" width="9.28125" style="0" bestFit="1" customWidth="1"/>
    <col min="5" max="5" width="9.8515625" style="0" bestFit="1" customWidth="1"/>
    <col min="6" max="9" width="9.140625" style="0" customWidth="1"/>
    <col min="10" max="10" width="12.421875" style="0" customWidth="1"/>
    <col min="11" max="11" width="9.140625" style="0" customWidth="1"/>
    <col min="12" max="12" width="11.28125" style="0" customWidth="1"/>
    <col min="13" max="13" width="9.8515625" style="0" customWidth="1"/>
    <col min="14" max="16384" width="9.140625" style="0" customWidth="1"/>
  </cols>
  <sheetData>
    <row r="1" spans="1:13" ht="20.25">
      <c r="A1" s="247" t="s">
        <v>132</v>
      </c>
      <c r="B1" s="248"/>
      <c r="C1" s="1"/>
      <c r="D1" s="1"/>
      <c r="E1" s="1"/>
      <c r="F1" s="1"/>
      <c r="G1" s="1"/>
      <c r="H1" s="1" t="s">
        <v>133</v>
      </c>
      <c r="I1" s="1"/>
      <c r="J1" s="1"/>
      <c r="K1" s="1"/>
      <c r="L1" s="1"/>
      <c r="M1" s="1"/>
    </row>
    <row r="2" spans="1:2" ht="13.5" thickBot="1">
      <c r="A2" s="60"/>
      <c r="B2" s="60"/>
    </row>
    <row r="3" spans="1:8" ht="12.75">
      <c r="A3" s="94"/>
      <c r="B3" s="95"/>
      <c r="C3" s="236" t="s">
        <v>91</v>
      </c>
      <c r="D3" s="236" t="s">
        <v>92</v>
      </c>
      <c r="E3" s="237" t="s">
        <v>93</v>
      </c>
      <c r="H3" s="150" t="s">
        <v>91</v>
      </c>
    </row>
    <row r="4" spans="1:13" ht="15">
      <c r="A4" s="323" t="s">
        <v>95</v>
      </c>
      <c r="B4" s="324"/>
      <c r="C4" s="112">
        <f>Cashflow!O14</f>
        <v>15420</v>
      </c>
      <c r="D4" s="112">
        <f>Cashflow!Q14</f>
        <v>17470</v>
      </c>
      <c r="E4" s="238">
        <f>Cashflow!S14</f>
        <v>18300</v>
      </c>
      <c r="H4" s="175" t="s">
        <v>134</v>
      </c>
      <c r="I4" s="120"/>
      <c r="J4" s="176"/>
      <c r="K4" s="175" t="s">
        <v>135</v>
      </c>
      <c r="L4" s="175"/>
      <c r="M4" s="175"/>
    </row>
    <row r="5" spans="1:13" ht="15">
      <c r="A5" s="323" t="s">
        <v>136</v>
      </c>
      <c r="B5" s="324"/>
      <c r="C5" s="112">
        <f>Cashflow!O22</f>
        <v>6560</v>
      </c>
      <c r="D5" s="112">
        <f>Cashflow!Q22</f>
        <v>7440</v>
      </c>
      <c r="E5" s="238">
        <f>Cashflow!S22</f>
        <v>7800</v>
      </c>
      <c r="H5" s="177" t="s">
        <v>137</v>
      </c>
      <c r="I5" s="177"/>
      <c r="J5" s="178">
        <f>Cashflow!O30-Balance!C15</f>
        <v>1420</v>
      </c>
      <c r="K5" s="179" t="s">
        <v>138</v>
      </c>
      <c r="L5" s="177"/>
      <c r="M5" s="180">
        <f>C19</f>
        <v>7680.200028425935</v>
      </c>
    </row>
    <row r="6" spans="1:13" ht="15.75">
      <c r="A6" s="325" t="s">
        <v>139</v>
      </c>
      <c r="B6" s="326"/>
      <c r="C6" s="233">
        <f>C4-C5</f>
        <v>8860</v>
      </c>
      <c r="D6" s="233">
        <f>D4-D5</f>
        <v>10030</v>
      </c>
      <c r="E6" s="239">
        <f>E4-E5</f>
        <v>10500</v>
      </c>
      <c r="H6" s="181" t="s">
        <v>140</v>
      </c>
      <c r="I6" s="182"/>
      <c r="J6" s="183">
        <f>Cashflow!O41</f>
        <v>6660.200028425935</v>
      </c>
      <c r="K6" s="184" t="s">
        <v>141</v>
      </c>
      <c r="L6" s="182"/>
      <c r="M6" s="185">
        <f>Cashflow!O40-(Cashflow!O34-C14)</f>
        <v>400</v>
      </c>
    </row>
    <row r="7" spans="1:13" ht="15">
      <c r="A7" s="327" t="s">
        <v>142</v>
      </c>
      <c r="B7" s="328"/>
      <c r="C7" s="232">
        <v>0</v>
      </c>
      <c r="D7" s="232">
        <v>0</v>
      </c>
      <c r="E7" s="240">
        <v>0</v>
      </c>
      <c r="F7" s="60"/>
      <c r="H7" s="186" t="s">
        <v>143</v>
      </c>
      <c r="I7" s="187"/>
      <c r="J7" s="188">
        <f>SUM(J5:J6)</f>
        <v>8080.200028425935</v>
      </c>
      <c r="K7" s="189" t="s">
        <v>143</v>
      </c>
      <c r="L7" s="187"/>
      <c r="M7" s="188">
        <f>SUM(M5:M6)</f>
        <v>8080.200028425935</v>
      </c>
    </row>
    <row r="8" spans="1:13" ht="15">
      <c r="A8" s="323" t="s">
        <v>144</v>
      </c>
      <c r="B8" s="324"/>
      <c r="C8" s="112">
        <f>SUM(Cashflow!O24:O25)</f>
        <v>820</v>
      </c>
      <c r="D8" s="112">
        <f>SUM(Cashflow!Q24:Q25)</f>
        <v>900</v>
      </c>
      <c r="E8" s="238">
        <f>SUM(Cashflow!S24:S25)</f>
        <v>1050</v>
      </c>
      <c r="J8" s="172"/>
      <c r="K8" s="172"/>
      <c r="L8" s="172"/>
      <c r="M8" s="172"/>
    </row>
    <row r="9" spans="1:13" ht="15">
      <c r="A9" s="323" t="s">
        <v>145</v>
      </c>
      <c r="B9" s="324"/>
      <c r="C9" s="60">
        <v>0</v>
      </c>
      <c r="D9" s="60">
        <v>0</v>
      </c>
      <c r="E9" s="28">
        <v>0</v>
      </c>
      <c r="H9" s="150" t="s">
        <v>92</v>
      </c>
      <c r="J9" s="172"/>
      <c r="K9" s="172"/>
      <c r="L9" s="172"/>
      <c r="M9" s="172"/>
    </row>
    <row r="10" spans="1:13" ht="15">
      <c r="A10" s="323" t="s">
        <v>146</v>
      </c>
      <c r="B10" s="324"/>
      <c r="C10" s="112">
        <f>Cashflow!O27</f>
        <v>0</v>
      </c>
      <c r="D10" s="112">
        <f>Cashflow!Q27</f>
        <v>0</v>
      </c>
      <c r="E10" s="238">
        <f>Cashflow!S27</f>
        <v>0</v>
      </c>
      <c r="H10" s="175" t="s">
        <v>134</v>
      </c>
      <c r="I10" s="120"/>
      <c r="J10" s="176"/>
      <c r="K10" s="175" t="s">
        <v>135</v>
      </c>
      <c r="L10" s="175"/>
      <c r="M10" s="175"/>
    </row>
    <row r="11" spans="1:13" ht="15">
      <c r="A11" s="323" t="s">
        <v>147</v>
      </c>
      <c r="B11" s="324"/>
      <c r="C11" s="112">
        <f>Cashflow!O28</f>
        <v>0</v>
      </c>
      <c r="D11" s="112">
        <f>Cashflow!Q28</f>
        <v>0</v>
      </c>
      <c r="E11" s="238">
        <f>Cashflow!S28</f>
        <v>0</v>
      </c>
      <c r="H11" s="177" t="s">
        <v>137</v>
      </c>
      <c r="I11" s="177"/>
      <c r="J11" s="178">
        <f>Cashflow!Q30+J5-D15</f>
        <v>2250</v>
      </c>
      <c r="K11" s="179" t="s">
        <v>138</v>
      </c>
      <c r="L11" s="177"/>
      <c r="M11" s="191">
        <f>D19</f>
        <v>16110.400056851871</v>
      </c>
    </row>
    <row r="12" spans="1:13" ht="15">
      <c r="A12" s="323" t="s">
        <v>148</v>
      </c>
      <c r="B12" s="324"/>
      <c r="C12" s="112">
        <f>Cashflow!O29</f>
        <v>60</v>
      </c>
      <c r="D12" s="112">
        <f>Cashflow!Q29</f>
        <v>80</v>
      </c>
      <c r="E12" s="238">
        <f>Cashflow!S29</f>
        <v>100</v>
      </c>
      <c r="H12" s="181" t="s">
        <v>140</v>
      </c>
      <c r="I12" s="182"/>
      <c r="J12" s="183">
        <f>Cashflow!Q41</f>
        <v>14060.40005685187</v>
      </c>
      <c r="K12" s="184" t="s">
        <v>141</v>
      </c>
      <c r="L12" s="182"/>
      <c r="M12" s="185">
        <f>M6-(Cashflow!Q34-D14)</f>
        <v>200</v>
      </c>
    </row>
    <row r="13" spans="1:13" ht="15">
      <c r="A13" s="323" t="s">
        <v>149</v>
      </c>
      <c r="B13" s="324"/>
      <c r="C13" s="112">
        <f>Cashflow!O26</f>
        <v>120</v>
      </c>
      <c r="D13" s="112">
        <f>Cashflow!Q26</f>
        <v>200</v>
      </c>
      <c r="E13" s="238">
        <f>Cashflow!S26</f>
        <v>200</v>
      </c>
      <c r="H13" s="186" t="s">
        <v>143</v>
      </c>
      <c r="I13" s="187"/>
      <c r="J13" s="188">
        <f>SUM(J11:J12)</f>
        <v>16310.40005685187</v>
      </c>
      <c r="K13" s="189" t="s">
        <v>143</v>
      </c>
      <c r="L13" s="187"/>
      <c r="M13" s="188">
        <f>SUM(M11:M12)</f>
        <v>16310.400056851871</v>
      </c>
    </row>
    <row r="14" spans="1:13" ht="15">
      <c r="A14" s="323" t="s">
        <v>150</v>
      </c>
      <c r="B14" s="324"/>
      <c r="C14" s="145">
        <f>(SUM(Cashflow!O34,Cashflow!Q34,Cashflow!S34)-SUM(Cashflow!O40,Cashflow!Q40,Cashflow!S40))/3</f>
        <v>49.79997157406501</v>
      </c>
      <c r="D14" s="145">
        <f>(SUM(Cashflow!O34,Cashflow!Q34,Cashflow!S34)-SUM(Cashflow!O40,Cashflow!Q40,Cashflow!S40))/3</f>
        <v>49.79997157406501</v>
      </c>
      <c r="E14" s="241">
        <f>(SUM(Cashflow!O34,Cashflow!Q34,Cashflow!S34)-SUM(Cashflow!O40,Cashflow!Q40,Cashflow!S40))/3</f>
        <v>49.79997157406501</v>
      </c>
      <c r="J14" s="172"/>
      <c r="K14" s="172"/>
      <c r="L14" s="172"/>
      <c r="M14" s="172"/>
    </row>
    <row r="15" spans="1:13" ht="15">
      <c r="A15" s="323" t="s">
        <v>125</v>
      </c>
      <c r="B15" s="324"/>
      <c r="C15" s="112">
        <f>Cashflow!O61</f>
        <v>129.99999999999997</v>
      </c>
      <c r="D15" s="112">
        <f>12*Cashflow!N61+IF(Cashflow!C44&gt;0,SLN(Cashflow!C44,0,Cashflow!C45*12)*(13-Cashflow!C46),0)+IF(Cashflow!D44&gt;0,SLN(Cashflow!D44,0,Cashflow!D45*12)*(13-Cashflow!D46),0)</f>
        <v>370</v>
      </c>
      <c r="E15" s="238">
        <f>12*Cashflow!N61+IF(Cashflow!C44&gt;0,SLN(Cashflow!C44,0,Cashflow!C45),0)+IF(Cashflow!D44&gt;0,SLN(Cashflow!D44,0,Cashflow!D45),0)+IF(Cashflow!I44&gt;0,SLN(Cashflow!I44,0,Cashflow!I45*12)*(13-Cashflow!I46),0)+IF(Cashflow!J44&gt;0,SLN(Cashflow!J44,0,Cashflow!J45*12)*(13-Cashflow!J46),0)</f>
        <v>370</v>
      </c>
      <c r="H15" s="150" t="s">
        <v>93</v>
      </c>
      <c r="J15" s="172"/>
      <c r="K15" s="172"/>
      <c r="L15" s="172"/>
      <c r="M15" s="172"/>
    </row>
    <row r="16" spans="1:13" ht="15">
      <c r="A16" s="323" t="s">
        <v>198</v>
      </c>
      <c r="B16" s="324"/>
      <c r="C16" s="60">
        <v>0</v>
      </c>
      <c r="D16" s="60">
        <v>0</v>
      </c>
      <c r="E16" s="28">
        <v>0</v>
      </c>
      <c r="H16" s="175" t="s">
        <v>134</v>
      </c>
      <c r="I16" s="120"/>
      <c r="J16" s="176"/>
      <c r="K16" s="175" t="s">
        <v>135</v>
      </c>
      <c r="L16" s="175"/>
      <c r="M16" s="175"/>
    </row>
    <row r="17" spans="1:13" ht="15.75" thickBot="1">
      <c r="A17" s="329" t="s">
        <v>151</v>
      </c>
      <c r="B17" s="330"/>
      <c r="C17" s="117">
        <f>SUM(C8:C16)</f>
        <v>1179.799971574065</v>
      </c>
      <c r="D17" s="117">
        <f>SUM(D8:D16)</f>
        <v>1599.799971574065</v>
      </c>
      <c r="E17" s="242">
        <f>SUM(E8:E16)</f>
        <v>1769.799971574065</v>
      </c>
      <c r="H17" s="177" t="s">
        <v>137</v>
      </c>
      <c r="I17" s="177"/>
      <c r="J17" s="178">
        <f>Cashflow!S30+J11-E15</f>
        <v>1880</v>
      </c>
      <c r="K17" s="179" t="s">
        <v>138</v>
      </c>
      <c r="L17" s="177"/>
      <c r="M17" s="180">
        <f>E19</f>
        <v>24840.60008527781</v>
      </c>
    </row>
    <row r="18" spans="1:13" ht="16.5" thickBot="1">
      <c r="A18" s="325" t="s">
        <v>152</v>
      </c>
      <c r="B18" s="326"/>
      <c r="C18" s="245">
        <f>C6+C7-C17</f>
        <v>7680.200028425935</v>
      </c>
      <c r="D18" s="245">
        <f>D6+D7-D17</f>
        <v>8430.200028425936</v>
      </c>
      <c r="E18" s="246">
        <f>E6+E7-E17</f>
        <v>8730.200028425936</v>
      </c>
      <c r="H18" s="182" t="s">
        <v>140</v>
      </c>
      <c r="I18" s="182"/>
      <c r="J18" s="183">
        <f>Cashflow!S41</f>
        <v>22960.600085277805</v>
      </c>
      <c r="K18" s="184" t="s">
        <v>141</v>
      </c>
      <c r="L18" s="182"/>
      <c r="M18" s="192">
        <f>M12-(Cashflow!S34-E14)</f>
        <v>0</v>
      </c>
    </row>
    <row r="19" spans="1:13" ht="15.75" thickBot="1">
      <c r="A19" s="234"/>
      <c r="B19" s="235" t="s">
        <v>153</v>
      </c>
      <c r="C19" s="243">
        <f>C18</f>
        <v>7680.200028425935</v>
      </c>
      <c r="D19" s="243">
        <f>C19+D18</f>
        <v>16110.400056851871</v>
      </c>
      <c r="E19" s="244">
        <f>E18+D19</f>
        <v>24840.60008527781</v>
      </c>
      <c r="H19" s="186" t="s">
        <v>143</v>
      </c>
      <c r="I19" s="187"/>
      <c r="J19" s="188">
        <f>SUM(J17:J18)</f>
        <v>24840.600085277805</v>
      </c>
      <c r="K19" s="189" t="s">
        <v>143</v>
      </c>
      <c r="L19" s="187"/>
      <c r="M19" s="188">
        <f>SUM(M17:M18)</f>
        <v>24840.60008527781</v>
      </c>
    </row>
  </sheetData>
  <mergeCells count="15">
    <mergeCell ref="A12:B12"/>
    <mergeCell ref="A13:B13"/>
    <mergeCell ref="A18:B18"/>
    <mergeCell ref="A14:B14"/>
    <mergeCell ref="A15:B15"/>
    <mergeCell ref="A16:B16"/>
    <mergeCell ref="A17:B17"/>
    <mergeCell ref="A8:B8"/>
    <mergeCell ref="A9:B9"/>
    <mergeCell ref="A10:B10"/>
    <mergeCell ref="A11:B11"/>
    <mergeCell ref="A4:B4"/>
    <mergeCell ref="A5:B5"/>
    <mergeCell ref="A6:B6"/>
    <mergeCell ref="A7:B7"/>
  </mergeCells>
  <printOptions/>
  <pageMargins left="0.7874015748031497" right="0.7874015748031497" top="0.984251968503937" bottom="0.3937007874015748" header="0.5118110236220472" footer="0.5118110236220472"/>
  <pageSetup fitToHeight="1" fitToWidth="1" horizontalDpi="600" verticalDpi="600" orientation="landscape" paperSize="9" scale="96" r:id="rId3"/>
  <headerFooter alignWithMargins="0">
    <oddFooter>&amp;LINSABA Tool&amp;R&amp;D</oddFooter>
  </headerFooter>
  <ignoredErrors>
    <ignoredError sqref="D8:E8"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HWB</dc:creator>
  <cp:keywords/>
  <dc:description/>
  <cp:lastModifiedBy>kramer</cp:lastModifiedBy>
  <cp:lastPrinted>2008-04-20T23:13:13Z</cp:lastPrinted>
  <dcterms:created xsi:type="dcterms:W3CDTF">2006-11-17T08:06:54Z</dcterms:created>
  <dcterms:modified xsi:type="dcterms:W3CDTF">2008-05-29T12:56:27Z</dcterms:modified>
  <cp:category/>
  <cp:version/>
  <cp:contentType/>
  <cp:contentStatus/>
</cp:coreProperties>
</file>